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unka\Egyetemi ügyek\Kari ügyek\"/>
    </mc:Choice>
  </mc:AlternateContent>
  <workbookProtection workbookAlgorithmName="SHA-512" workbookHashValue="FUBK0++i7Jcgn2xIBJhRYSjT/ZT6dbs4lCVzidBH/JOf0kMSp71Ya/UkGhWQwIRGP9bgc8ExsAFSK4TDJXqSCQ==" workbookSaltValue="m33J+45HBIEZ/k+XhZJDsw==" workbookSpinCount="100000" lockStructure="1"/>
  <bookViews>
    <workbookView xWindow="0" yWindow="0" windowWidth="18870" windowHeight="7590"/>
  </bookViews>
  <sheets>
    <sheet name="TÖRZSADATOK ÉS ÖSSZESÍTÉS" sheetId="1" r:id="rId1"/>
    <sheet name="1. Oktatási tapasztalat " sheetId="3" r:id="rId2"/>
    <sheet name="2. Tudományos eredmények" sheetId="4" r:id="rId3"/>
    <sheet name="3. Tudományos közéleti tev." sheetId="5" r:id="rId4"/>
    <sheet name="Segédlap" sheetId="2" state="hidden" r:id="rId5"/>
    <sheet name="Pszicho segédlap" sheetId="6" state="hidden" r:id="rId6"/>
  </sheets>
  <definedNames>
    <definedName name="_ftn1" localSheetId="2">'2. Tudományos eredmények'!$I$53</definedName>
    <definedName name="_ftn2" localSheetId="2">'2. Tudományos eredmények'!$I$58</definedName>
    <definedName name="_ftn3" localSheetId="2">'2. Tudományos eredmények'!$I$60</definedName>
    <definedName name="_ftnref1" localSheetId="2">'2. Tudományos eredmények'!$I$3</definedName>
    <definedName name="_ftnref2" localSheetId="2">'2. Tudományos eredmények'!$J$9</definedName>
    <definedName name="_ftnref3" localSheetId="2">'2. Tudományos eredmények'!$I$10</definedName>
    <definedName name="_xlnm.Print_Area" localSheetId="0">'TÖRZSADATOK ÉS ÖSSZESÍTÉS'!$D$1:$O$38</definedName>
    <definedName name="okt_adatok">'1. Oktatási tapasztalat '!$B$3,'1. Oktatási tapasztalat '!$B$8:$B$47,'1. Oktatási tapasztalat '!$G$10:$G$13,'1. Oktatási tapasztalat '!$G$15:$G$16,'1. Oktatási tapasztalat '!$G$18:$G$21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6" l="1"/>
  <c r="B9" i="6"/>
  <c r="D9" i="6" s="1"/>
  <c r="B8" i="6"/>
  <c r="D8" i="6" s="1"/>
  <c r="B7" i="6"/>
  <c r="D7" i="6" s="1"/>
  <c r="B6" i="6"/>
  <c r="B2" i="6"/>
  <c r="B3" i="6" s="1"/>
  <c r="B4" i="6" s="1"/>
  <c r="D6" i="6" l="1"/>
  <c r="E6" i="6"/>
  <c r="B17" i="1"/>
  <c r="I19" i="4" l="1"/>
  <c r="F6" i="6"/>
  <c r="G6" i="6" s="1"/>
  <c r="E7" i="6" s="1"/>
  <c r="I20" i="4" s="1"/>
  <c r="B3" i="5"/>
  <c r="J32" i="6" l="1"/>
  <c r="J31" i="6" s="1"/>
  <c r="J30" i="6" s="1"/>
  <c r="F7" i="6"/>
  <c r="G7" i="6"/>
  <c r="B47" i="1"/>
  <c r="J22" i="6" l="1"/>
  <c r="E8" i="6" s="1"/>
  <c r="F8" i="6" s="1"/>
  <c r="G8" i="6" s="1"/>
  <c r="I23" i="4"/>
  <c r="C2" i="2"/>
  <c r="C5" i="2"/>
  <c r="B42" i="1"/>
  <c r="J37" i="6" l="1"/>
  <c r="J36" i="6" s="1"/>
  <c r="J26" i="6" s="1"/>
  <c r="E9" i="6" s="1"/>
  <c r="I25" i="4" s="1"/>
  <c r="H55" i="2"/>
  <c r="H56" i="2"/>
  <c r="H57" i="2"/>
  <c r="H58" i="2"/>
  <c r="H59" i="2"/>
  <c r="H60" i="2"/>
  <c r="H61" i="2"/>
  <c r="H62" i="2"/>
  <c r="H63" i="2"/>
  <c r="H64" i="2"/>
  <c r="H65" i="2"/>
  <c r="H66" i="2"/>
  <c r="H71" i="2"/>
  <c r="H72" i="2"/>
  <c r="H73" i="2"/>
  <c r="H74" i="2"/>
  <c r="H75" i="2"/>
  <c r="H76" i="2"/>
  <c r="H77" i="2"/>
  <c r="H78" i="2"/>
  <c r="H79" i="2"/>
  <c r="E10" i="6" l="1"/>
  <c r="F9" i="6"/>
  <c r="F10" i="6" s="1"/>
  <c r="K13" i="4"/>
  <c r="E9" i="4"/>
  <c r="E39" i="5"/>
  <c r="A1" i="5" l="1"/>
  <c r="M95" i="2"/>
  <c r="M92" i="2"/>
  <c r="M76" i="2"/>
  <c r="M71" i="2"/>
  <c r="M69" i="2"/>
  <c r="M66" i="2"/>
  <c r="M64" i="2"/>
  <c r="M61" i="2"/>
  <c r="M60" i="2"/>
  <c r="M59" i="2"/>
  <c r="M56" i="2"/>
  <c r="M55" i="2"/>
  <c r="M54" i="2"/>
  <c r="M53" i="2"/>
  <c r="M49" i="2"/>
  <c r="M47" i="2"/>
  <c r="M46" i="2"/>
  <c r="M45" i="2"/>
  <c r="M42" i="2"/>
  <c r="M29" i="2"/>
  <c r="M27" i="2"/>
  <c r="M25" i="2"/>
  <c r="M24" i="2"/>
  <c r="M23" i="2"/>
  <c r="M22" i="2"/>
  <c r="M21" i="2"/>
  <c r="M4" i="2"/>
  <c r="B45" i="1"/>
  <c r="M70" i="2" s="1"/>
  <c r="B54" i="2" l="1"/>
  <c r="B12" i="1"/>
  <c r="M94" i="2" s="1"/>
  <c r="B53" i="2" s="1"/>
  <c r="A2" i="1" l="1"/>
  <c r="B3" i="4"/>
  <c r="E4" i="3"/>
  <c r="A10" i="4"/>
  <c r="A45" i="4"/>
  <c r="A3" i="1" l="1"/>
  <c r="B46" i="1"/>
  <c r="M72" i="2" s="1"/>
  <c r="M65" i="2"/>
  <c r="I20" i="3"/>
  <c r="I19" i="3"/>
  <c r="I18" i="3"/>
  <c r="E43" i="5"/>
  <c r="E45" i="5"/>
  <c r="E47" i="5"/>
  <c r="E49" i="5"/>
  <c r="E51" i="5"/>
  <c r="E53" i="5" s="1"/>
  <c r="A54" i="5" s="1"/>
  <c r="E37" i="5"/>
  <c r="E35" i="5"/>
  <c r="E34" i="5"/>
  <c r="E32" i="5"/>
  <c r="E31" i="5"/>
  <c r="E29" i="5"/>
  <c r="E27" i="5"/>
  <c r="E26" i="5"/>
  <c r="E24" i="5"/>
  <c r="E23" i="5"/>
  <c r="E19" i="5"/>
  <c r="E20" i="5"/>
  <c r="E21" i="5"/>
  <c r="E18" i="5"/>
  <c r="E16" i="5"/>
  <c r="E17" i="5"/>
  <c r="E15" i="5"/>
  <c r="E9" i="5"/>
  <c r="E10" i="5"/>
  <c r="E11" i="5"/>
  <c r="E12" i="5"/>
  <c r="E8" i="5"/>
  <c r="E6" i="5"/>
  <c r="E5" i="5"/>
  <c r="B48" i="4"/>
  <c r="C44" i="4"/>
  <c r="B45" i="4" s="1"/>
  <c r="G15" i="4"/>
  <c r="G16" i="4"/>
  <c r="G17" i="4"/>
  <c r="G18" i="4"/>
  <c r="G19" i="4"/>
  <c r="G20" i="4"/>
  <c r="G21" i="4"/>
  <c r="G22" i="4"/>
  <c r="G23" i="4"/>
  <c r="G24" i="4"/>
  <c r="G25" i="4"/>
  <c r="G14" i="4"/>
  <c r="G31" i="4"/>
  <c r="G32" i="4"/>
  <c r="G33" i="4"/>
  <c r="G34" i="4"/>
  <c r="G35" i="4"/>
  <c r="G36" i="4"/>
  <c r="G37" i="4"/>
  <c r="G38" i="4"/>
  <c r="G30" i="4"/>
  <c r="E30" i="4"/>
  <c r="E20" i="4"/>
  <c r="E21" i="4"/>
  <c r="E24" i="4"/>
  <c r="E31" i="4"/>
  <c r="E32" i="4"/>
  <c r="E33" i="4"/>
  <c r="E34" i="4"/>
  <c r="E35" i="4"/>
  <c r="E36" i="4"/>
  <c r="E37" i="4"/>
  <c r="E38" i="4"/>
  <c r="E15" i="4"/>
  <c r="E16" i="4"/>
  <c r="E17" i="4"/>
  <c r="E18" i="4"/>
  <c r="E19" i="4"/>
  <c r="E22" i="4"/>
  <c r="E23" i="4"/>
  <c r="E25" i="4"/>
  <c r="E14" i="4"/>
  <c r="E6" i="4"/>
  <c r="E7" i="4"/>
  <c r="E8" i="4"/>
  <c r="E5" i="4"/>
  <c r="A1" i="4"/>
  <c r="E26" i="4" l="1"/>
  <c r="D7" i="1"/>
  <c r="L38" i="1" s="1"/>
  <c r="G39" i="4"/>
  <c r="B43" i="1"/>
  <c r="M67" i="2" s="1"/>
  <c r="G26" i="4"/>
  <c r="C41" i="4" s="1"/>
  <c r="M35" i="2"/>
  <c r="B53" i="1"/>
  <c r="E39" i="4"/>
  <c r="E10" i="4"/>
  <c r="I21" i="3"/>
  <c r="I17" i="3" s="1"/>
  <c r="I16" i="3"/>
  <c r="I15" i="3"/>
  <c r="I14" i="3" s="1"/>
  <c r="I13" i="3"/>
  <c r="I12" i="3"/>
  <c r="I11" i="3"/>
  <c r="I10" i="3"/>
  <c r="G7" i="3"/>
  <c r="G8" i="3" s="1"/>
  <c r="I8" i="3" s="1"/>
  <c r="I22" i="3" s="1"/>
  <c r="A1" i="3"/>
  <c r="B42" i="4" l="1"/>
  <c r="B40" i="1"/>
  <c r="M62" i="2" s="1"/>
  <c r="B54" i="1"/>
  <c r="M74" i="2" s="1"/>
  <c r="M77" i="2"/>
  <c r="M79" i="2"/>
  <c r="B11" i="4"/>
  <c r="B34" i="1"/>
  <c r="B27" i="4"/>
  <c r="B37" i="1"/>
  <c r="M57" i="2" s="1"/>
  <c r="B24" i="1"/>
  <c r="M30" i="2" s="1"/>
  <c r="G25" i="3"/>
  <c r="B28" i="1" s="1"/>
  <c r="I9" i="3"/>
  <c r="I7" i="3"/>
  <c r="B23" i="1"/>
  <c r="M50" i="2" l="1"/>
  <c r="B50" i="2" s="1"/>
  <c r="B49" i="1"/>
  <c r="B48" i="1"/>
  <c r="B58" i="1" s="1"/>
  <c r="B25" i="1"/>
  <c r="M14" i="2" s="1"/>
  <c r="M28" i="2"/>
  <c r="B51" i="2"/>
  <c r="B21" i="1"/>
  <c r="G24" i="3"/>
  <c r="M33" i="2" l="1"/>
  <c r="M32" i="2"/>
  <c r="B59" i="1"/>
  <c r="M86" i="2"/>
  <c r="B26" i="1"/>
  <c r="M26" i="2"/>
  <c r="M36" i="2"/>
  <c r="M38" i="2"/>
  <c r="M6" i="2" l="1"/>
  <c r="M88" i="2"/>
  <c r="M84" i="2"/>
  <c r="M83" i="2"/>
  <c r="M15" i="2"/>
  <c r="M17" i="2"/>
  <c r="B52" i="2" l="1"/>
  <c r="M12" i="2"/>
  <c r="M19" i="2" s="1"/>
  <c r="M11" i="2"/>
  <c r="M8" i="2" l="1"/>
  <c r="B47" i="2" s="1"/>
  <c r="M40" i="2"/>
  <c r="B49" i="2" s="1"/>
  <c r="B48" i="2"/>
</calcChain>
</file>

<file path=xl/sharedStrings.xml><?xml version="1.0" encoding="utf-8"?>
<sst xmlns="http://schemas.openxmlformats.org/spreadsheetml/2006/main" count="371" uniqueCount="299">
  <si>
    <t>ÉRTÉKELŐ ŰRLAP</t>
  </si>
  <si>
    <t>Az értékelés készítésének helye (város):</t>
  </si>
  <si>
    <t>Az értékelés készítésének dátuma:</t>
  </si>
  <si>
    <t>Elért pontszám:</t>
  </si>
  <si>
    <t>PONTSZÁMÍTÁS</t>
  </si>
  <si>
    <t>AZ ELJÁRÁSRA JELENTKEZŐ</t>
  </si>
  <si>
    <t>Neve:</t>
  </si>
  <si>
    <t>Kizárólag kutatói munkakörben foglalkoztatott személy-e?</t>
  </si>
  <si>
    <t>B5</t>
  </si>
  <si>
    <t>Igen.</t>
  </si>
  <si>
    <t>Nem.</t>
  </si>
  <si>
    <t>Minimumkövetelmény:</t>
  </si>
  <si>
    <t>(i)  Kontaktórák:</t>
  </si>
  <si>
    <t>(ii) Egyéb oktatási teljesítmény:</t>
  </si>
  <si>
    <t>Minimumkövetelmény összesen:</t>
  </si>
  <si>
    <t>Elért pontszám összesen:</t>
  </si>
  <si>
    <t>A jelentkező oktatási tapasztalata megfelelő-e?</t>
  </si>
  <si>
    <t>N.B.: A már adatokat tartalmazó cellák értéke a bevitt adatok függvényében változhat.</t>
  </si>
  <si>
    <t>1. szemeszter</t>
  </si>
  <si>
    <t>2. szemeszter</t>
  </si>
  <si>
    <t>3. szemeszter</t>
  </si>
  <si>
    <t>4. szemeszter</t>
  </si>
  <si>
    <t>5. szemeszter</t>
  </si>
  <si>
    <t>6. szemeszter</t>
  </si>
  <si>
    <t>7. szemeszter</t>
  </si>
  <si>
    <t>8. szemeszter</t>
  </si>
  <si>
    <t>9. szemeszter</t>
  </si>
  <si>
    <t>10. szemeszter</t>
  </si>
  <si>
    <t>11. szemeszter</t>
  </si>
  <si>
    <t>12. szemeszter</t>
  </si>
  <si>
    <t>13. szemeszter</t>
  </si>
  <si>
    <t>14. szemeszter</t>
  </si>
  <si>
    <t>15. szemeszter</t>
  </si>
  <si>
    <t>16. szemeszter</t>
  </si>
  <si>
    <t>17. szemeszter</t>
  </si>
  <si>
    <t>18. szemeszter</t>
  </si>
  <si>
    <t>19. szemeszter</t>
  </si>
  <si>
    <t>20. szemeszter</t>
  </si>
  <si>
    <t>21. szemeszter</t>
  </si>
  <si>
    <t>22. szemeszter</t>
  </si>
  <si>
    <t>23. szemeszter</t>
  </si>
  <si>
    <t>24. szemeszter</t>
  </si>
  <si>
    <t>25. szemeszter</t>
  </si>
  <si>
    <t>26. szemeszter</t>
  </si>
  <si>
    <t>27. szemeszter</t>
  </si>
  <si>
    <t>28. szemeszter</t>
  </si>
  <si>
    <t>29. szemeszter</t>
  </si>
  <si>
    <t>30. szemeszter</t>
  </si>
  <si>
    <t>31. szemeszter</t>
  </si>
  <si>
    <t>32. szemeszter</t>
  </si>
  <si>
    <t>33. szemeszter</t>
  </si>
  <si>
    <t>34. szemeszter</t>
  </si>
  <si>
    <t>35. szemeszter</t>
  </si>
  <si>
    <t>36. szemeszter</t>
  </si>
  <si>
    <t>37. szemeszter</t>
  </si>
  <si>
    <t>38. szemeszter</t>
  </si>
  <si>
    <t>39. szemeszter</t>
  </si>
  <si>
    <t>40. szemeszter</t>
  </si>
  <si>
    <t>Óraszám</t>
  </si>
  <si>
    <t>Tevékenység</t>
  </si>
  <si>
    <t>Teljesítmény</t>
  </si>
  <si>
    <t>Pontszám</t>
  </si>
  <si>
    <t>Magasabb oktatási teljesítményre adható pontok</t>
  </si>
  <si>
    <t>a. szakdolgozati témavezetés</t>
  </si>
  <si>
    <t>b. TDK-témavezetés</t>
  </si>
  <si>
    <t>Dolgozatok száma</t>
  </si>
  <si>
    <t>Kurzusok száma</t>
  </si>
  <si>
    <t>Kurzus tartása külföldön</t>
  </si>
  <si>
    <t>a. minimum 8 óra tartása (Erasmus, Ceepus, stb.)</t>
  </si>
  <si>
    <t>b. teljes félévnyi kurzus tartása</t>
  </si>
  <si>
    <t>1. Oktatási tapasztalat</t>
  </si>
  <si>
    <t>2. Oktatásfejlesztés</t>
  </si>
  <si>
    <t xml:space="preserve">Tantárgyfelelősség </t>
  </si>
  <si>
    <t>Kontaktórák száma BA, MA vagy doktori képzésben
(Felsőfokú szakképzésben, illetve szakirányú továbbképzésben ellátott oktatói feladatok nem fogadhatók el a
habilitációs eljárás elindításának oktatási feltételeként).</t>
  </si>
  <si>
    <t>Tárgyak száma</t>
  </si>
  <si>
    <t>Tananyagkészítés
(Csak az MTMT-be felvett, ISBN-számmal ellátott tananyag számítható be)</t>
  </si>
  <si>
    <t>Tananyagok száma</t>
  </si>
  <si>
    <t>oktatási tevékenységének részletes értékelése</t>
  </si>
  <si>
    <t>Publikációtípusok</t>
  </si>
  <si>
    <t>Pszichológia: monográfia helyett 3 darab Q1-es vagy Q2-es folyóiratban megjelent tanulmány</t>
  </si>
  <si>
    <t>Magyar nyelvű tanulmány nem Q1, Q2 vagy A besorolású folyóiratban Magyarországon vagy külföldön</t>
  </si>
  <si>
    <t>Idegen nyelvű tanulmány hazai, nem Q1, Q2 vagy A besorolású folyóiratban</t>
  </si>
  <si>
    <t>Idegen nyelvű tanulmány külföldi, nem Q1, Q2 vagy A besorolású folyóiratban</t>
  </si>
  <si>
    <t>Magyar nyelvű tanulmány A besorolású folyóiratban</t>
  </si>
  <si>
    <t>a. A klasszika-filológia területén ókori szerzők fordítása szöveggondozással és/vagy kritikai apparátussal ellátott szövegkiadása.</t>
  </si>
  <si>
    <t>publikációs teljesítményének részletes értékelése</t>
  </si>
  <si>
    <t>Publikációk száma</t>
  </si>
  <si>
    <t>Pont / publikáció</t>
  </si>
  <si>
    <t>a.       Magyar nyelvű monográfia, kritikai kiadás</t>
  </si>
  <si>
    <t>b.      Magyarországon megjelent idegen nyelvű monográfia</t>
  </si>
  <si>
    <t>c.       Külföldi kiadónál megjelent idegen nyelvű monográfia</t>
  </si>
  <si>
    <t>d.      Forráskiadvány, forrásgyűjtemény, egyszerzős tanulmánygyűjtemény</t>
  </si>
  <si>
    <t>ÖSSZESEN:</t>
  </si>
  <si>
    <t>b. Nem klasszikus forrásszöveg elemzése esetén a szerzői kritikai szöveggondozás mellett megírt kísérő tanulmány(ok)nak minimum 5 szerzői ívet kell elérnie/ük.</t>
  </si>
  <si>
    <t>1. Monográfia vagy koherens tanulmánykötet</t>
  </si>
  <si>
    <t>Kritikai kiadásként, forráskiadványként, forrásgyűjteményként a következők számíthatók be ebben a kategóriában:</t>
  </si>
  <si>
    <t xml:space="preserve">a.
Magyar nyelvű könyvfejezet magyar vagy külföldi kiadónál </t>
  </si>
  <si>
    <t>b.
Idegen nyelvű könyvfejezet magyar kiadónál</t>
  </si>
  <si>
    <t>c.
Idegen nyelvű könyvfejezet külföldi kiadónál</t>
  </si>
  <si>
    <t>d.
Idegen nyelvű tanulmány Q2 és A besorolású folyóiratban</t>
  </si>
  <si>
    <t>e.
Idegen nyelvű tanulmány Q1 folyóiratban</t>
  </si>
  <si>
    <t>Magyar nyelvű tanulmány Q1 besorolású folyóiratban</t>
  </si>
  <si>
    <t>Magyar nyelvű tanulmány Q2 besorolású folyóiratban</t>
  </si>
  <si>
    <t>Idegen nyelvű tanulmány A besorolású folyóiratban</t>
  </si>
  <si>
    <t>d.
Idegen nyelvű tanulmány Q2 besorolású folyóiratban</t>
  </si>
  <si>
    <t>Pszichológia.</t>
  </si>
  <si>
    <t>Nem pszichológia.</t>
  </si>
  <si>
    <t xml:space="preserve">A pályázó köteles megadni minden egyes tanulmány pontos leütésszámát. A terjedelembe beszámítanak a szóközök, a jegyzetapparátus és a szakirodalom, de a melléklet nem. 
Kivétel: A pszichológia sajátos követelményei alapján az „empirikus/kísérletes” tanulmányok esetében a kísérlethez/empíriához szervesen kapcsolódó hipotézisek és az eredmények leírása, dokumentációja (ábra/kép/táblázat), illetve az alkalmazott statisztikai eljárások képletei is beletartoznak a terjedelembe. </t>
  </si>
  <si>
    <t>Ebből a PhD óta</t>
  </si>
  <si>
    <t>ÖSSZESEN (a 2. a-e. sorok pontszámának összege 
csökkentve az 1. pontban beszámított pontszámmal):</t>
  </si>
  <si>
    <t>A PhD óta megjelent publikációkért elért pontszám:</t>
  </si>
  <si>
    <t>A jelölt szakterülete az idegen nyelvű modern irodalmak és kultúrák.</t>
  </si>
  <si>
    <t>A jelölt szakterülete NEM az idegen nyelvű modern irodalmak és kultúrák.</t>
  </si>
  <si>
    <t>Az idegen nyelvű publikációk száma:</t>
  </si>
  <si>
    <t>Az MTA Doktora eljáráshoz 
tudományterület-specifikusan előírt hivatkozások</t>
  </si>
  <si>
    <t xml:space="preserve"> Független hivatkozások száma lektorált kiadványokban az egész életműre vonatkozóan:</t>
  </si>
  <si>
    <t>Részvétel szakmai bizottságokban</t>
  </si>
  <si>
    <t>Kutatásszervezés</t>
  </si>
  <si>
    <t>Konferencia-előadás</t>
  </si>
  <si>
    <t>Szakmai lektorálási feladatok</t>
  </si>
  <si>
    <t>Bírálóbizottság tagja (PhD, habilitáció, MTA Doktora)</t>
  </si>
  <si>
    <t>Szerkesztési tevékenység (többszerzős tanulmánykötet, tematikus folyóiratszám szerkesztése)</t>
  </si>
  <si>
    <t>Az egyes tudományterületeken elvárt kötelező hivatkozási minimumok jelentős meghaladása esetén adandó pontszámok:</t>
  </si>
  <si>
    <t>Hirsch-index</t>
  </si>
  <si>
    <t>Tudományos szervezetbeli tagsága</t>
  </si>
  <si>
    <t>Tisztség tudományos szervezetben</t>
  </si>
  <si>
    <t>Díjak, elismerések</t>
  </si>
  <si>
    <t>Hosszabb tanulmányutak (egy hétnél hosszabb)</t>
  </si>
  <si>
    <t>tudományos közéleti tevékenységének részletes értékelése</t>
  </si>
  <si>
    <t>Folyóirat, könyvsorozat szerkesztőbizottságának tagja</t>
  </si>
  <si>
    <t>Doktori témavezetés</t>
  </si>
  <si>
    <t>Társtémavezetés esetén a témavezetők számának arányában számítható be a tevékenység.</t>
  </si>
  <si>
    <t>A bíráló megítélése szerint a bizottsági munka szintjétől (tanszékitől a nemzetköziig) és időtartamától függően.</t>
  </si>
  <si>
    <t>Csekélyebb jelentőségű</t>
  </si>
  <si>
    <t>Átlagos jelentőségű</t>
  </si>
  <si>
    <t>Nagyobb jelentőségű</t>
  </si>
  <si>
    <t>Igen jelentős</t>
  </si>
  <si>
    <t>Kiemelkedő jelentőségű</t>
  </si>
  <si>
    <t>Csekélyebb jelentőségű pályázat</t>
  </si>
  <si>
    <t>Nagyobb jelentőségű pályázat</t>
  </si>
  <si>
    <t>Kiemelkedő jelentőségű pályázat</t>
  </si>
  <si>
    <t>Igen jelentős pályázat</t>
  </si>
  <si>
    <t>Bizonyítható részvétel a szervezőbizottság munkájában.</t>
  </si>
  <si>
    <t>a.
Fokozatot szerzett hallgató</t>
  </si>
  <si>
    <t>b.
Folyamatban lévő témavezetés</t>
  </si>
  <si>
    <t>a.
Részvétel pályázatokban, nemzetközi és hazai együttműködésekben</t>
  </si>
  <si>
    <t>b.
Pályázat vezetője nemzetközi vagy hazai együttműködésekben</t>
  </si>
  <si>
    <t>a.
Magyar</t>
  </si>
  <si>
    <t>b.
Nemzetközi</t>
  </si>
  <si>
    <t>a.
Hazai, magyar</t>
  </si>
  <si>
    <t>b.
Nemzetközi/idegen nyelvű</t>
  </si>
  <si>
    <t>a.
Opponensként</t>
  </si>
  <si>
    <t>b.
Elnökként, tagként</t>
  </si>
  <si>
    <t>Mennyiség</t>
  </si>
  <si>
    <t>Pont / tétel</t>
  </si>
  <si>
    <t>Konferenciaszervezés</t>
  </si>
  <si>
    <t>Szak- szakirány és specializációfelelősség</t>
  </si>
  <si>
    <t>szak(irány)ok, specializációk száma</t>
  </si>
  <si>
    <t>Teljes, önálló, új kurzus kidolgozása és tanítása</t>
  </si>
  <si>
    <t>Szorzó</t>
  </si>
  <si>
    <t>Hallgatói témavezetés</t>
  </si>
  <si>
    <t>(Társtémavezetés esetén a témavezetők számának arányában számítható be a tevékenység mindhárom (a-c) esetben.)</t>
  </si>
  <si>
    <t>5 / 200</t>
  </si>
  <si>
    <t>Oktatás idegen nyelven BA, MA vagy doktori képzésben 
(kivéve idegen nyelvi képzések)</t>
  </si>
  <si>
    <t xml:space="preserve">A kizárólag kutatói munkakörben foglalkoztatottak számára oktatási területen a minimumkövetelmény: 800 kontaktóra=20 pont, nekik nem kell – de lehet – további oktatási tevékenységből pontot szerezniük. </t>
  </si>
  <si>
    <t>AZ ÉRTÉKELÉST KÉSZÍTŐ</t>
  </si>
  <si>
    <t>A jelölt kizárólag kutatói munkakörben foglalkoztatott személy-e?</t>
  </si>
  <si>
    <t>1. kategória:</t>
  </si>
  <si>
    <t>2. kategória:</t>
  </si>
  <si>
    <t>A jelölt szakterülete az idegen nyelvű modern irodalmak és kultúrák?</t>
  </si>
  <si>
    <t>A PhD óta megjelent publikációk:</t>
  </si>
  <si>
    <t>Idegen nyelvű publikációk :</t>
  </si>
  <si>
    <t>Idézettség:</t>
  </si>
  <si>
    <t>b. Tudományos teljesítmény</t>
  </si>
  <si>
    <t>a. Oktatási tapasztalat</t>
  </si>
  <si>
    <t>A jelentkező tudományos teljesítménye megfelelő-e?</t>
  </si>
  <si>
    <t>c. Tudományos közéleti tevékenység</t>
  </si>
  <si>
    <t>A jelentkező tudományos közéleti tevékenysége megfelelő-e?</t>
  </si>
  <si>
    <t>Magyar irodalom- és kultúratudomány</t>
  </si>
  <si>
    <t>Média- és kommunikációtudomány</t>
  </si>
  <si>
    <t>Modern irodalmak és kultúrák</t>
  </si>
  <si>
    <t>Nyelvtudomány</t>
  </si>
  <si>
    <t>Történettudomány</t>
  </si>
  <si>
    <t>Néprajz és kulturális antropológia</t>
  </si>
  <si>
    <t>Pedagógia</t>
  </si>
  <si>
    <t>Szociológia</t>
  </si>
  <si>
    <t>Pszichológia</t>
  </si>
  <si>
    <t>Filozófia</t>
  </si>
  <si>
    <t>Szakterület</t>
  </si>
  <si>
    <t>Szakterülete:</t>
  </si>
  <si>
    <t>Pszich. vagy nem?</t>
  </si>
  <si>
    <t>ideiglenes copy</t>
  </si>
  <si>
    <t>Iny. filol.?</t>
  </si>
  <si>
    <t>A.</t>
  </si>
  <si>
    <t>B.</t>
  </si>
  <si>
    <t>Csak kut.?</t>
  </si>
  <si>
    <t>A lapon még kitöltetlen cellák vannak.</t>
  </si>
  <si>
    <t>A lap minden celláját kitöltötte.</t>
  </si>
  <si>
    <t>Még nincs kitöltve a munkafüzet minden lapja.</t>
  </si>
  <si>
    <t>A munkafüzet minden lapja ki van töltve.</t>
  </si>
  <si>
    <t>A HABILITÁCIÓS ELJÁRÁS MEGINDÍTÁSA</t>
  </si>
  <si>
    <t xml:space="preserve"> MINIMÁLIS FELTÉTELEINEK</t>
  </si>
  <si>
    <t>TELJESÜLÉSÉRŐL</t>
  </si>
  <si>
    <t>minimumkövetelmény:</t>
  </si>
  <si>
    <t>elért pontszám:</t>
  </si>
  <si>
    <t>Szövegelemek</t>
  </si>
  <si>
    <t xml:space="preserve">A rendelkezésemre álló dokumentumok alapján megállapítottam, hogy </t>
  </si>
  <si>
    <t xml:space="preserve">további eljárásra bocsátható, </t>
  </si>
  <si>
    <t>az alábbiakra tekintettel:</t>
  </si>
  <si>
    <t>megfelelő</t>
  </si>
  <si>
    <t xml:space="preserve">a. A jelentkező oktatási tapasztalata </t>
  </si>
  <si>
    <t>ami</t>
  </si>
  <si>
    <t>ami azonban</t>
  </si>
  <si>
    <t xml:space="preserve"> ezen a területen az esetében minimálisan elvárt </t>
  </si>
  <si>
    <t xml:space="preserve"> pontot ért el, </t>
  </si>
  <si>
    <t>kizárólag</t>
  </si>
  <si>
    <t>nem kizárólag</t>
  </si>
  <si>
    <t xml:space="preserve"> - </t>
  </si>
  <si>
    <t xml:space="preserve">b. A jelentkező tudományos teljesítménye </t>
  </si>
  <si>
    <t xml:space="preserve">(i) Publikációk, </t>
  </si>
  <si>
    <t xml:space="preserve">(ii) Publikációk, </t>
  </si>
  <si>
    <t xml:space="preserve">(iii) A PhD óta megjelent publikációk: </t>
  </si>
  <si>
    <t xml:space="preserve">(iv) Idegen nyelvű publikációk: </t>
  </si>
  <si>
    <t xml:space="preserve">(v) Idézettség: </t>
  </si>
  <si>
    <t xml:space="preserve">c.  A jelentkező tudományos közéleti teljesítménye </t>
  </si>
  <si>
    <t xml:space="preserve">, mert ezen a területen a minimálisan elvárt </t>
  </si>
  <si>
    <t xml:space="preserve">Kelt: </t>
  </si>
  <si>
    <t>, mert</t>
  </si>
  <si>
    <t>, noha</t>
  </si>
  <si>
    <t xml:space="preserve">, </t>
  </si>
  <si>
    <t xml:space="preserve"> pontot ért el.</t>
  </si>
  <si>
    <t xml:space="preserve">, aki a Debreceni Egyetem Bölcsészettudományi Karán habilitációs kérelmet nyújtott be, </t>
  </si>
  <si>
    <t xml:space="preserve">nem bocsátható további eljárásra, </t>
  </si>
  <si>
    <t xml:space="preserve">mert az ehhez szükséges minimális feltételeket </t>
  </si>
  <si>
    <t xml:space="preserve">teljesíti </t>
  </si>
  <si>
    <t xml:space="preserve">nem teljesíti </t>
  </si>
  <si>
    <t xml:space="preserve"> ponttal szemben</t>
  </si>
  <si>
    <t xml:space="preserve"> pontnak megfelelően</t>
  </si>
  <si>
    <t xml:space="preserve"> összesen </t>
  </si>
  <si>
    <t xml:space="preserve"> pont</t>
  </si>
  <si>
    <t>Amíg az űrlap kitöltése teljesen el nem készül, az értékelés szöveges összefoglalása nem áll rendelkezésre.</t>
  </si>
  <si>
    <t>Az itt következő sorokba írja be a dokumentált óraszámokat szemeszterenként. 
Az összegzés automatikus. 
A fölösleges sorokba 0 számjegyet kell írni.</t>
  </si>
  <si>
    <t xml:space="preserve"> - szakterületére tekintettel (</t>
  </si>
  <si>
    <t>) - a következőkből adódik össze:</t>
  </si>
  <si>
    <t>Többszörös hiv.</t>
  </si>
  <si>
    <t>2-szeres meghaladás</t>
  </si>
  <si>
    <t>3-szoros meghaladás</t>
  </si>
  <si>
    <t>4-szeres vagy afölötti meghaladás</t>
  </si>
  <si>
    <t>Nincs.</t>
  </si>
  <si>
    <t>5–15</t>
  </si>
  <si>
    <t>Hibás?</t>
  </si>
  <si>
    <t>a részkövetelmények nem maradéktalan teljesítése miatt nem megfelelő</t>
  </si>
  <si>
    <t>ÖSSZPONTSZÁM</t>
  </si>
  <si>
    <t>A jelentkező szakmai teljesítménye összességében megfelelő-e?</t>
  </si>
  <si>
    <t xml:space="preserve">d.  A jelentkező összteljesítménye </t>
  </si>
  <si>
    <t>nem megfelelő</t>
  </si>
  <si>
    <t xml:space="preserve"> pontot ért el</t>
  </si>
  <si>
    <t xml:space="preserve"> a minimálisan elvárt 360 ponttal szemben mindösszesen </t>
  </si>
  <si>
    <t>Kivétel: pszichológia, azonban minden tanulmányt a 2. pontban kell ebben az esetben is feltüntetni. Csak a legalább 20 000 karakter terjedelmű tanulmányok vehetők tekintetbe.
A pontszámokat az űrlap a folyóirat-publikációk 2. pontban felsorolt kategóriáinak megfelelően automatikusan számolja. Ehhez ellenőrizze, hogy a "TÖRZSADATOK ÉS ÖSSZESÍTÉS" lap B7 cellájában kiválasztotta-e a jelölt tudományterületét.</t>
  </si>
  <si>
    <t>Figyelem: 
Amennyiben 
az önállóan megjelent tanulmányok 
jelentős átdolgozás nélkül válnak 
a habilitációs dolgozat részévé, 
akkor ezen tanulmányok 
nem vehetők figyelembe 
a minimális előkövetelmények között is.
Amennyiben a benyújtott habilitációs disszertáció már megjelent monográfia vagy tanulmánygyűjtemény, ugyanaz a monográfia/tanulmánygyűjtemény előfeltételként nem számítható be.</t>
  </si>
  <si>
    <t>· Kérjük, minden munkalapot töltsön ki! 
· Csak a halványsárga cellákba írhat. 
· Minden üresen hagyott cellába írjon 0 számjegyet! Kérjük, ne hagyjon üresen egyetlen cellát sem. A kitöltés hiányosságára/teljességére minden lap elején élénk kék színű üzenet figyelmeztet.
· Vegye figyelembe az egyes sorokhoz tartozó magyarázatokat!
· A fájlt nevezze át úgy, hogy egyértelműen az adott eljáráshoz, illetve Önhöz legyen köthető, és munkáját folyamatosan mentse!
· Az összes cella kitöltését követően a rendszer jelentést generál. Csak akkor zárja le a kitöltést, ha az összesítő lapon megjelenik az automatikusan generált szöveges összesítés.
· Kitöltés után - a beállítások változatlanul hagyásával - a jelen munkafüzetoldalt nyomtassa ki, írja alá és csatolja a bírálatához!
                     Köszönjük szíves együttműködését!</t>
  </si>
  <si>
    <t>Ebből pszichológia esetében monográfia helyett elszámolt tételek</t>
  </si>
  <si>
    <t>Kell-e Q1-Q2-t átvinni nem elegendő monográfia-pont miatt?</t>
  </si>
  <si>
    <t>Monográfia-pontok összege</t>
  </si>
  <si>
    <t>Hány pontot kell összeszedni Q1-Q2-ből?</t>
  </si>
  <si>
    <t>db.</t>
  </si>
  <si>
    <t>pont egyenként</t>
  </si>
  <si>
    <t>pont összesen</t>
  </si>
  <si>
    <t>innen átvitt tételek száma</t>
  </si>
  <si>
    <t>Lehetőségek</t>
  </si>
  <si>
    <t>db/pont</t>
  </si>
  <si>
    <t>átvitt tételekért járó pont</t>
  </si>
  <si>
    <t>ÖSSZESEN</t>
  </si>
  <si>
    <t>Kell még több?</t>
  </si>
  <si>
    <t>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</si>
  <si>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</si>
  <si>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</si>
  <si>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</si>
  <si>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</si>
  <si>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</si>
  <si>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</si>
  <si>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</si>
  <si>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</si>
  <si>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</si>
  <si>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</si>
  <si>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Hány A9 kell, ha van a többiből is?</t>
  </si>
  <si>
    <t>Hány A8 kell, ha van a többiből is?</t>
  </si>
  <si>
    <t>A8 részletei</t>
  </si>
  <si>
    <t>Magyar nyelvű tanulmány Q1, Q2 vagy A besorolású folyóiratban</t>
  </si>
  <si>
    <t>A9 részletei</t>
  </si>
  <si>
    <t>3 kell, ha B1=1 ÉS E6:E8=0 ÉS B9&gt;=3</t>
  </si>
  <si>
    <t>2 kell, ha  B1=1 ÉS VAGY csak 1 E6:E7 és 0 E8 van, VAGY csak 0 E6:E7 és 1 E8 van ÉS B9&gt;=2, [VAGY ha E6:E8=0 ÉS B9=2 - ez megvan E9-ben]</t>
  </si>
  <si>
    <t>ÉS(SUM(F6:F7)=16;F8=0)</t>
  </si>
  <si>
    <t>ÉS(SUM(F6:F7)=8;F8=9)</t>
  </si>
  <si>
    <t>ÉS(SUM(F6:F7)=0;F8=18)</t>
  </si>
  <si>
    <t>1 kell, ha B1=1 ÉS VAGY(ÉS(SUM(F6:F7)=16;F8=0);ÉS(SUM(F6:F7)=8;F8=9);ÉS(SUM(F6:F7)=0;F8=18))  ÉS B9&gt;=1, vagy ha SZUM(E6:E8)&lt;16 ÉS B9=1</t>
  </si>
  <si>
    <t>2. Folyóiratban vagy tanulmánykötetben publikált, lektorált tanulmány vagy könyvfejezet (&gt; 20 000 karakter, szóközökkel)</t>
  </si>
  <si>
    <t>3. Kisebb lektorált tudományos  publikációk (&lt; 20 000 karakter, szóközökkel)</t>
  </si>
  <si>
    <t>c. OTDK I., II. és III. helyezett, különdíjas és Pro Scientia-díjas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</si>
</sst>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E]yyyy/\ mmmm\ d\.;@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C65911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theme="1"/>
      <name val="Garamond"/>
      <family val="1"/>
      <charset val="238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2"/>
      <color rgb="FF000000"/>
      <name val="Garamond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Garamond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4"/>
      <color rgb="FF00B0F0"/>
      <name val="Calibri"/>
      <family val="2"/>
      <charset val="238"/>
      <scheme val="minor"/>
    </font>
    <font>
      <sz val="14"/>
      <color theme="1"/>
      <name val="Garamond"/>
      <family val="1"/>
      <charset val="238"/>
    </font>
    <font>
      <b/>
      <i/>
      <sz val="12"/>
      <color rgb="FF375623"/>
      <name val="Calibri"/>
      <family val="2"/>
      <charset val="238"/>
      <scheme val="minor"/>
    </font>
    <font>
      <sz val="16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b/>
      <i/>
      <sz val="11"/>
      <color rgb="FF00B0F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B"/>
        <bgColor indexed="64"/>
      </patternFill>
    </fill>
    <fill>
      <patternFill patternType="solid">
        <fgColor rgb="FFFFFF9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37562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16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0" fillId="0" borderId="1" xfId="0" applyBorder="1"/>
    <xf numFmtId="0" fontId="6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right"/>
    </xf>
    <xf numFmtId="0" fontId="6" fillId="5" borderId="0" xfId="0" applyFont="1" applyFill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2" fillId="0" borderId="0" xfId="1" applyAlignme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/>
    <xf numFmtId="0" fontId="8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12" fillId="0" borderId="0" xfId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1" fillId="0" borderId="4" xfId="0" applyFont="1" applyBorder="1" applyAlignment="1">
      <alignment horizontal="right" wrapText="1"/>
    </xf>
    <xf numFmtId="0" fontId="1" fillId="0" borderId="6" xfId="0" applyFont="1" applyBorder="1"/>
    <xf numFmtId="0" fontId="0" fillId="0" borderId="7" xfId="0" applyBorder="1"/>
    <xf numFmtId="0" fontId="2" fillId="0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7" fillId="6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/>
    <xf numFmtId="0" fontId="1" fillId="0" borderId="10" xfId="0" applyFont="1" applyBorder="1"/>
    <xf numFmtId="0" fontId="6" fillId="5" borderId="7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1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center" vertical="center"/>
    </xf>
    <xf numFmtId="0" fontId="0" fillId="0" borderId="9" xfId="0" applyBorder="1"/>
    <xf numFmtId="0" fontId="2" fillId="0" borderId="10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wrapText="1" indent="2"/>
    </xf>
    <xf numFmtId="0" fontId="6" fillId="5" borderId="0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0" borderId="13" xfId="0" applyBorder="1" applyAlignment="1">
      <alignment horizontal="center" vertical="center"/>
    </xf>
    <xf numFmtId="0" fontId="0" fillId="0" borderId="16" xfId="0" applyBorder="1"/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6" fillId="5" borderId="20" xfId="0" applyFont="1" applyFill="1" applyBorder="1" applyAlignment="1">
      <alignment horizontal="right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7" borderId="21" xfId="0" applyFill="1" applyBorder="1"/>
    <xf numFmtId="0" fontId="0" fillId="7" borderId="17" xfId="0" applyFill="1" applyBorder="1"/>
    <xf numFmtId="0" fontId="0" fillId="7" borderId="13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wrapText="1" inden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10" fillId="0" borderId="16" xfId="0" applyFont="1" applyBorder="1" applyAlignment="1">
      <alignment horizontal="left" vertical="top" wrapText="1" indent="1"/>
    </xf>
    <xf numFmtId="0" fontId="0" fillId="0" borderId="17" xfId="0" applyBorder="1" applyAlignment="1">
      <alignment wrapText="1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10" fillId="0" borderId="16" xfId="0" applyFont="1" applyBorder="1" applyAlignment="1">
      <alignment horizontal="left" wrapText="1" indent="1"/>
    </xf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indent="1"/>
    </xf>
    <xf numFmtId="0" fontId="0" fillId="0" borderId="21" xfId="0" applyBorder="1" applyAlignment="1">
      <alignment horizontal="center" vertical="center"/>
    </xf>
    <xf numFmtId="0" fontId="0" fillId="0" borderId="10" xfId="0" applyBorder="1"/>
    <xf numFmtId="0" fontId="6" fillId="5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0" fillId="6" borderId="1" xfId="0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1" fillId="0" borderId="13" xfId="0" applyFont="1" applyBorder="1"/>
    <xf numFmtId="0" fontId="0" fillId="0" borderId="15" xfId="0" applyBorder="1" applyAlignment="1">
      <alignment horizontal="center" vertical="center"/>
    </xf>
    <xf numFmtId="1" fontId="1" fillId="0" borderId="13" xfId="0" applyNumberFormat="1" applyFont="1" applyBorder="1"/>
    <xf numFmtId="49" fontId="1" fillId="0" borderId="13" xfId="0" applyNumberFormat="1" applyFont="1" applyBorder="1" applyAlignment="1">
      <alignment horizontal="right"/>
    </xf>
    <xf numFmtId="1" fontId="0" fillId="0" borderId="13" xfId="0" applyNumberFormat="1" applyBorder="1" applyAlignment="1">
      <alignment horizontal="center" vertical="center"/>
    </xf>
    <xf numFmtId="1" fontId="1" fillId="0" borderId="13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/>
    </xf>
    <xf numFmtId="0" fontId="7" fillId="6" borderId="1" xfId="0" applyFont="1" applyFill="1" applyBorder="1" applyAlignment="1">
      <alignment horizontal="center" wrapText="1"/>
    </xf>
    <xf numFmtId="1" fontId="6" fillId="5" borderId="0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9" fillId="5" borderId="0" xfId="0" applyFont="1" applyFill="1" applyAlignment="1">
      <alignment horizontal="center" vertical="center"/>
    </xf>
    <xf numFmtId="0" fontId="18" fillId="5" borderId="0" xfId="0" applyFont="1" applyFill="1" applyBorder="1" applyAlignment="1">
      <alignment horizontal="right" vertical="center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1" fillId="0" borderId="0" xfId="0" applyNumberFormat="1" applyFont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Protection="1"/>
    <xf numFmtId="49" fontId="0" fillId="0" borderId="0" xfId="0" applyNumberFormat="1"/>
    <xf numFmtId="164" fontId="0" fillId="0" borderId="0" xfId="0" applyNumberFormat="1"/>
    <xf numFmtId="49" fontId="23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2" xfId="0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indent="3"/>
    </xf>
    <xf numFmtId="0" fontId="0" fillId="0" borderId="0" xfId="0" applyAlignment="1">
      <alignment horizontal="left"/>
    </xf>
    <xf numFmtId="0" fontId="27" fillId="0" borderId="0" xfId="0" applyFont="1"/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 wrapText="1"/>
    </xf>
    <xf numFmtId="0" fontId="0" fillId="9" borderId="20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10" borderId="0" xfId="0" applyFill="1"/>
    <xf numFmtId="0" fontId="0" fillId="0" borderId="0" xfId="0" applyFill="1"/>
    <xf numFmtId="0" fontId="0" fillId="11" borderId="0" xfId="0" applyFill="1"/>
    <xf numFmtId="0" fontId="0" fillId="12" borderId="43" xfId="0" applyFill="1" applyBorder="1"/>
    <xf numFmtId="0" fontId="0" fillId="12" borderId="21" xfId="0" applyFill="1" applyBorder="1"/>
    <xf numFmtId="0" fontId="0" fillId="12" borderId="0" xfId="0" applyFill="1"/>
    <xf numFmtId="0" fontId="1" fillId="12" borderId="0" xfId="0" applyFont="1" applyFill="1"/>
    <xf numFmtId="0" fontId="0" fillId="9" borderId="0" xfId="0" applyFill="1"/>
    <xf numFmtId="0" fontId="0" fillId="9" borderId="13" xfId="0" applyFont="1" applyFill="1" applyBorder="1" applyAlignment="1">
      <alignment horizontal="center" vertical="center"/>
    </xf>
    <xf numFmtId="0" fontId="0" fillId="9" borderId="13" xfId="0" applyFont="1" applyFill="1" applyBorder="1" applyAlignment="1">
      <alignment horizontal="center" vertical="center" wrapText="1"/>
    </xf>
    <xf numFmtId="0" fontId="0" fillId="13" borderId="0" xfId="0" applyFill="1"/>
    <xf numFmtId="0" fontId="0" fillId="14" borderId="0" xfId="0" applyFill="1"/>
    <xf numFmtId="0" fontId="0" fillId="0" borderId="0" xfId="0" quotePrefix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6" fillId="5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17" fillId="6" borderId="10" xfId="0" applyFont="1" applyFill="1" applyBorder="1" applyAlignment="1">
      <alignment horizontal="left" wrapText="1" indent="1"/>
    </xf>
    <xf numFmtId="0" fontId="17" fillId="6" borderId="4" xfId="0" applyFont="1" applyFill="1" applyBorder="1" applyAlignment="1">
      <alignment horizontal="left" wrapText="1" indent="1"/>
    </xf>
    <xf numFmtId="0" fontId="7" fillId="5" borderId="6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10" fillId="0" borderId="15" xfId="0" applyFont="1" applyBorder="1" applyAlignment="1">
      <alignment vertical="top" wrapText="1"/>
    </xf>
    <xf numFmtId="0" fontId="10" fillId="0" borderId="15" xfId="0" applyFont="1" applyBorder="1" applyAlignment="1">
      <alignment vertical="top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6" fillId="0" borderId="0" xfId="0" applyNumberFormat="1" applyFont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 indent="1"/>
    </xf>
    <xf numFmtId="0" fontId="10" fillId="0" borderId="29" xfId="0" applyFont="1" applyBorder="1" applyAlignment="1">
      <alignment horizontal="left" vertical="center" wrapText="1" indent="1"/>
    </xf>
    <xf numFmtId="0" fontId="10" fillId="0" borderId="31" xfId="0" applyFont="1" applyBorder="1" applyAlignment="1">
      <alignment horizontal="left" vertical="center" wrapText="1" inden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9B"/>
      <color rgb="FF375623"/>
      <color rgb="FF004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123823</xdr:colOff>
      <xdr:row>0</xdr:row>
      <xdr:rowOff>0</xdr:rowOff>
    </xdr:from>
    <xdr:to>
      <xdr:col>15</xdr:col>
      <xdr:colOff>34556</xdr:colOff>
      <xdr:row>0</xdr:row>
      <xdr:rowOff>1800226</xdr:rowOff>
    </xdr:to>
    <xdr:grpSp>
      <xdr:nvGrpSpPr>
        <xdr:cNvPr id="6" name="Csoportba foglalás 5"/>
        <xdr:cNvGrpSpPr>
          <a:grpSpLocks noChangeAspect="1"/>
        </xdr:cNvGrpSpPr>
      </xdr:nvGrpSpPr>
      <xdr:grpSpPr>
        <a:xfrm>
          <a:off x="10477498" y="0"/>
          <a:ext cx="7492633" cy="1800226"/>
          <a:chOff x="5505448" y="0"/>
          <a:chExt cx="5423604" cy="829251"/>
        </a:xfrm>
      </xdr:grpSpPr>
      <xdr:sp macro="" textlink="">
        <xdr:nvSpPr>
          <xdr:cNvPr id="3" name="Szövegdoboz 2"/>
          <xdr:cNvSpPr txBox="1"/>
        </xdr:nvSpPr>
        <xdr:spPr>
          <a:xfrm>
            <a:off x="6450036" y="540261"/>
            <a:ext cx="1866743" cy="2889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hu-HU" sz="1200" b="0">
                <a:solidFill>
                  <a:srgbClr val="004735"/>
                </a:solidFill>
                <a:latin typeface="DINPro-Medium" panose="02000503030000020004" pitchFamily="50" charset="0"/>
              </a:rPr>
              <a:t>Bölcsészettudományi</a:t>
            </a:r>
            <a:r>
              <a:rPr lang="hu-HU" sz="1200" b="0" baseline="0">
                <a:solidFill>
                  <a:srgbClr val="004735"/>
                </a:solidFill>
                <a:latin typeface="DINPro-Medium" panose="02000503030000020004" pitchFamily="50" charset="0"/>
              </a:rPr>
              <a:t> Kar</a:t>
            </a:r>
            <a:endParaRPr lang="hu-HU" sz="1200" b="0">
              <a:solidFill>
                <a:srgbClr val="004735"/>
              </a:solidFill>
              <a:latin typeface="DINPro-Medium" panose="02000503030000020004" pitchFamily="50" charset="0"/>
            </a:endParaRPr>
          </a:p>
        </xdr:txBody>
      </xdr:sp>
      <xdr:pic>
        <xdr:nvPicPr>
          <xdr:cNvPr id="5" name="Kép 4">
            <a:extLst>
              <a:ext uri="{FF2B5EF4-FFF2-40B4-BE49-F238E27FC236}">
                <a16:creationId xmlns:a16="http://schemas.microsoft.com/office/drawing/2014/main" id="{8CBA7A88-57D5-7453-B2D1-63C185A449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505448" y="0"/>
            <a:ext cx="5423604" cy="65713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4735"/>
    <pageSetUpPr fitToPage="1"/>
  </sheetPr>
  <dimension ref="A1:P59"/>
  <sheetViews>
    <sheetView tabSelected="1" workbookViewId="0">
      <selection activeCell="B6" sqref="B6"/>
    </sheetView>
  </sheetViews>
  <sheetFormatPr defaultRowHeight="15" x14ac:dyDescent="0.25"/>
  <cols>
    <col min="1" max="1" width="89.140625" customWidth="1"/>
    <col min="2" max="2" width="66.140625" customWidth="1"/>
    <col min="3" max="3" width="4" customWidth="1"/>
  </cols>
  <sheetData>
    <row r="1" spans="1:16" ht="195" x14ac:dyDescent="0.25">
      <c r="A1" s="1" t="s">
        <v>260</v>
      </c>
      <c r="B1" s="2" t="s">
        <v>17</v>
      </c>
    </row>
    <row r="2" spans="1:16" ht="30.75" customHeight="1" x14ac:dyDescent="0.25">
      <c r="A2" s="136" t="str">
        <f ca="1">IF((COUNTBLANK(B6:B7)+COUNTBLANK(B10:B12))&gt;0,Segédlap!C19,Segédlap!C20)</f>
        <v>A lapon még kitöltetlen cellák vannak.</v>
      </c>
      <c r="E2" s="167" t="s">
        <v>0</v>
      </c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6" ht="30.75" customHeight="1" x14ac:dyDescent="0.25">
      <c r="A3" s="136" t="str">
        <f ca="1">IF(OR('1. Oktatási tapasztalat '!E4=Segédlap!C19,'2. Tudományos eredmények'!B3=Segédlap!C19,'3. Tudományos közéleti tev.'!B3=Segédlap!C19,A2=Segédlap!C19),Segédlap!C22,Segédlap!C23)</f>
        <v>Még nincs kitöltve a munkafüzet minden lapja.</v>
      </c>
      <c r="E3" s="167" t="s">
        <v>200</v>
      </c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6" ht="30.75" customHeight="1" x14ac:dyDescent="0.25">
      <c r="E4" s="168" t="s">
        <v>201</v>
      </c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spans="1:16" ht="30.75" customHeight="1" x14ac:dyDescent="0.25">
      <c r="A5" s="6" t="s">
        <v>5</v>
      </c>
      <c r="B5" s="5"/>
      <c r="E5" s="167" t="s">
        <v>202</v>
      </c>
      <c r="F5" s="167"/>
      <c r="G5" s="167"/>
      <c r="H5" s="167"/>
      <c r="I5" s="167"/>
      <c r="J5" s="167"/>
      <c r="K5" s="167"/>
      <c r="L5" s="167"/>
      <c r="M5" s="167"/>
      <c r="N5" s="167"/>
      <c r="O5" s="167"/>
    </row>
    <row r="6" spans="1:16" ht="15.75" x14ac:dyDescent="0.25">
      <c r="A6" s="7" t="s">
        <v>6</v>
      </c>
      <c r="B6" s="121"/>
      <c r="P6" s="4"/>
    </row>
    <row r="7" spans="1:16" ht="15.75" customHeight="1" x14ac:dyDescent="0.25">
      <c r="A7" s="7" t="s">
        <v>189</v>
      </c>
      <c r="B7" s="121"/>
      <c r="D7" s="169" t="str">
        <f ca="1">IF(A3=Segédlap!C22,Segédlap!A8,CONCATENATE(Segédlap!B47,"
",Segédlap!B48,"
",Segédlap!B49,"
",Segédlap!B50,"
",Segédlap!B51,"
",Segédlap!B52,"
",Segédlap!B53))</f>
        <v>Amíg az űrlap kitöltése teljesen el nem készül, az értékelés szöveges összefoglalása nem áll rendelkezésre.</v>
      </c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"/>
    </row>
    <row r="8" spans="1:16" ht="15" customHeight="1" x14ac:dyDescent="0.25">
      <c r="A8" s="118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4"/>
    </row>
    <row r="9" spans="1:16" ht="15" customHeight="1" x14ac:dyDescent="0.25">
      <c r="A9" s="6" t="s">
        <v>165</v>
      </c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3"/>
    </row>
    <row r="10" spans="1:16" ht="15.75" customHeight="1" x14ac:dyDescent="0.25">
      <c r="A10" s="8" t="s">
        <v>6</v>
      </c>
      <c r="B10" s="142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</row>
    <row r="11" spans="1:16" ht="15" customHeight="1" x14ac:dyDescent="0.25">
      <c r="A11" s="8" t="s">
        <v>1</v>
      </c>
      <c r="B11" s="122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</row>
    <row r="12" spans="1:16" ht="15" customHeight="1" x14ac:dyDescent="0.25">
      <c r="A12" s="8" t="s">
        <v>2</v>
      </c>
      <c r="B12" s="139">
        <f ca="1">TODAY()</f>
        <v>46202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</row>
    <row r="13" spans="1:16" ht="15" customHeight="1" x14ac:dyDescent="0.25"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</row>
    <row r="14" spans="1:16" ht="15" customHeight="1" x14ac:dyDescent="0.25"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</row>
    <row r="15" spans="1:16" ht="15" customHeight="1" x14ac:dyDescent="0.25">
      <c r="A15" s="6" t="s">
        <v>4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</row>
    <row r="16" spans="1:16" ht="15" customHeight="1" x14ac:dyDescent="0.25">
      <c r="A16" s="9" t="s">
        <v>174</v>
      </c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</row>
    <row r="17" spans="1:15" ht="15" customHeight="1" x14ac:dyDescent="0.25">
      <c r="A17" t="s">
        <v>166</v>
      </c>
      <c r="B17" s="13" t="str">
        <f>IF('1. Oktatási tapasztalat '!B3=0,"",'1. Oktatási tapasztalat '!B3)</f>
        <v/>
      </c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</row>
    <row r="18" spans="1:15" ht="15" customHeight="1" x14ac:dyDescent="0.25"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</row>
    <row r="19" spans="1:15" ht="15" customHeight="1" x14ac:dyDescent="0.25">
      <c r="A19" s="10" t="s">
        <v>12</v>
      </c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</row>
    <row r="20" spans="1:15" ht="15" customHeight="1" x14ac:dyDescent="0.25">
      <c r="A20" s="11" t="s">
        <v>203</v>
      </c>
      <c r="B20">
        <v>20</v>
      </c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</row>
    <row r="21" spans="1:15" ht="15" customHeight="1" x14ac:dyDescent="0.25">
      <c r="A21" s="11" t="s">
        <v>204</v>
      </c>
      <c r="B21">
        <f>'1. Oktatási tapasztalat '!I7</f>
        <v>0</v>
      </c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1:15" ht="15" customHeight="1" x14ac:dyDescent="0.25">
      <c r="A22" s="10" t="s">
        <v>13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</row>
    <row r="23" spans="1:15" ht="15" customHeight="1" x14ac:dyDescent="0.25">
      <c r="A23" s="11" t="s">
        <v>203</v>
      </c>
      <c r="B23">
        <f>IF('1. Oktatási tapasztalat '!B3="Igen.",0,70)</f>
        <v>70</v>
      </c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</row>
    <row r="24" spans="1:15" ht="15" customHeight="1" x14ac:dyDescent="0.25">
      <c r="A24" s="11" t="s">
        <v>204</v>
      </c>
      <c r="B24">
        <f>'1. Oktatási tapasztalat '!I22</f>
        <v>0</v>
      </c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</row>
    <row r="25" spans="1:15" ht="15" customHeight="1" x14ac:dyDescent="0.25">
      <c r="A25" s="12" t="s">
        <v>14</v>
      </c>
      <c r="B25">
        <f>B20+B23</f>
        <v>90</v>
      </c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</row>
    <row r="26" spans="1:15" ht="15" customHeight="1" x14ac:dyDescent="0.25">
      <c r="A26" s="12" t="s">
        <v>15</v>
      </c>
      <c r="B26">
        <f>SUM(B21,B24)</f>
        <v>0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</row>
    <row r="27" spans="1:15" ht="15" customHeight="1" x14ac:dyDescent="0.25"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</row>
    <row r="28" spans="1:15" ht="15" customHeight="1" x14ac:dyDescent="0.25">
      <c r="A28" s="120" t="s">
        <v>16</v>
      </c>
      <c r="B28" s="119" t="str">
        <f>IF(OR('1. Oktatási tapasztalat '!G24="A minimumkövetelmény nem teljesül.",'1. Oktatási tapasztalat '!G25="A minimumkövetelmény nem teljesül."),"A jelentkező oktatási tapasztalata nem megfelelő.","A jelentkező oktatási tapasztalata megfelelő.")</f>
        <v>A jelentkező oktatási tapasztalata nem megfelelő.</v>
      </c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</row>
    <row r="29" spans="1:15" ht="15" customHeight="1" x14ac:dyDescent="0.25"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</row>
    <row r="30" spans="1:15" ht="15" customHeight="1" x14ac:dyDescent="0.25">
      <c r="A30" s="9" t="s">
        <v>173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</row>
    <row r="31" spans="1:15" ht="15" customHeight="1" x14ac:dyDescent="0.25"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</row>
    <row r="32" spans="1:15" x14ac:dyDescent="0.25">
      <c r="A32" s="147" t="s">
        <v>167</v>
      </c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</row>
    <row r="33" spans="1:15" x14ac:dyDescent="0.25">
      <c r="A33" s="11" t="s">
        <v>203</v>
      </c>
      <c r="B33">
        <v>24</v>
      </c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</row>
    <row r="34" spans="1:15" x14ac:dyDescent="0.25">
      <c r="A34" s="11" t="s">
        <v>204</v>
      </c>
      <c r="B34">
        <f>'2. Tudományos eredmények'!E10</f>
        <v>0</v>
      </c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</row>
    <row r="35" spans="1:15" x14ac:dyDescent="0.25">
      <c r="A35" s="147" t="s">
        <v>168</v>
      </c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</row>
    <row r="36" spans="1:15" x14ac:dyDescent="0.25">
      <c r="A36" s="11" t="s">
        <v>203</v>
      </c>
      <c r="B36">
        <v>96</v>
      </c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</row>
    <row r="37" spans="1:15" x14ac:dyDescent="0.25">
      <c r="A37" s="11" t="s">
        <v>204</v>
      </c>
      <c r="B37">
        <f>'2. Tudományos eredmények'!E26</f>
        <v>0</v>
      </c>
    </row>
    <row r="38" spans="1:15" ht="18.75" x14ac:dyDescent="0.25">
      <c r="A38" s="145" t="s">
        <v>170</v>
      </c>
      <c r="L38" s="166" t="str">
        <f ca="1">IF(D7=Segédlap!A8,"-",'TÖRZSADATOK ÉS ÖSSZESÍTÉS'!B10)</f>
        <v>-</v>
      </c>
      <c r="M38" s="166"/>
      <c r="N38" s="166"/>
      <c r="O38" s="166"/>
    </row>
    <row r="39" spans="1:15" x14ac:dyDescent="0.25">
      <c r="A39" s="11" t="s">
        <v>203</v>
      </c>
      <c r="B39" s="146">
        <v>66</v>
      </c>
    </row>
    <row r="40" spans="1:15" x14ac:dyDescent="0.25">
      <c r="A40" s="11" t="s">
        <v>204</v>
      </c>
      <c r="B40" s="146">
        <f>'2. Tudományos eredmények'!C41</f>
        <v>0</v>
      </c>
    </row>
    <row r="41" spans="1:15" x14ac:dyDescent="0.25">
      <c r="A41" s="145" t="s">
        <v>171</v>
      </c>
      <c r="B41" s="146"/>
    </row>
    <row r="42" spans="1:15" x14ac:dyDescent="0.25">
      <c r="A42" s="11" t="s">
        <v>203</v>
      </c>
      <c r="B42" s="146">
        <f>IF(B7="Modern irodalmak és kultúrák",9,4)</f>
        <v>4</v>
      </c>
    </row>
    <row r="43" spans="1:15" x14ac:dyDescent="0.25">
      <c r="A43" s="11" t="s">
        <v>204</v>
      </c>
      <c r="B43" s="146">
        <f>'2. Tudományos eredmények'!C44</f>
        <v>0</v>
      </c>
    </row>
    <row r="44" spans="1:15" x14ac:dyDescent="0.25">
      <c r="A44" s="145" t="s">
        <v>172</v>
      </c>
      <c r="B44" s="146"/>
    </row>
    <row r="45" spans="1:15" x14ac:dyDescent="0.25">
      <c r="A45" s="11" t="s">
        <v>203</v>
      </c>
      <c r="B45" s="146">
        <f>'2. Tudományos eredmények'!A48/4</f>
        <v>0</v>
      </c>
    </row>
    <row r="46" spans="1:15" x14ac:dyDescent="0.25">
      <c r="A46" s="11" t="s">
        <v>204</v>
      </c>
      <c r="B46" s="146">
        <f>'2. Tudományos eredmények'!C47</f>
        <v>0</v>
      </c>
    </row>
    <row r="47" spans="1:15" x14ac:dyDescent="0.25">
      <c r="A47" s="12" t="s">
        <v>14</v>
      </c>
      <c r="B47">
        <f>SUM(B33,B36)</f>
        <v>120</v>
      </c>
    </row>
    <row r="48" spans="1:15" x14ac:dyDescent="0.25">
      <c r="A48" s="12" t="s">
        <v>15</v>
      </c>
      <c r="B48">
        <f>SUM(B34,B37)</f>
        <v>0</v>
      </c>
    </row>
    <row r="49" spans="1:2" x14ac:dyDescent="0.25">
      <c r="A49" s="120" t="s">
        <v>175</v>
      </c>
      <c r="B49" s="119" t="str">
        <f>IF(OR(B34&lt;B33,B37&lt;B36,B40&lt;B39,B43&lt;B42,B46&lt;B45),"A jelentkező tudományos teljesítménye nem megfelelő.","A jelentkező tudományos teljesítménye megfelelő.")</f>
        <v>A jelentkező tudományos teljesítménye nem megfelelő.</v>
      </c>
    </row>
    <row r="51" spans="1:2" x14ac:dyDescent="0.25">
      <c r="A51" s="9" t="s">
        <v>176</v>
      </c>
    </row>
    <row r="52" spans="1:2" x14ac:dyDescent="0.25">
      <c r="A52" s="12" t="s">
        <v>11</v>
      </c>
      <c r="B52">
        <v>50</v>
      </c>
    </row>
    <row r="53" spans="1:2" x14ac:dyDescent="0.25">
      <c r="A53" s="12" t="s">
        <v>3</v>
      </c>
      <c r="B53">
        <f>'3. Tudományos közéleti tev.'!E53</f>
        <v>0</v>
      </c>
    </row>
    <row r="54" spans="1:2" x14ac:dyDescent="0.25">
      <c r="A54" s="120" t="s">
        <v>177</v>
      </c>
      <c r="B54" s="119" t="str">
        <f>IF(B52&gt;B53,"A jelentkező tudományos közéleti tevékenysége nem megfelelő.","A jelentkező tudományos közéleti tevékenysége megfelelő.")</f>
        <v>A jelentkező tudományos közéleti tevékenysége nem megfelelő.</v>
      </c>
    </row>
    <row r="56" spans="1:2" x14ac:dyDescent="0.25">
      <c r="A56" s="6" t="s">
        <v>252</v>
      </c>
    </row>
    <row r="57" spans="1:2" x14ac:dyDescent="0.25">
      <c r="A57" s="12" t="s">
        <v>11</v>
      </c>
      <c r="B57" s="9">
        <v>360</v>
      </c>
    </row>
    <row r="58" spans="1:2" x14ac:dyDescent="0.25">
      <c r="A58" s="12" t="s">
        <v>3</v>
      </c>
      <c r="B58" s="9">
        <f>SUM(B26,B48,B53)</f>
        <v>0</v>
      </c>
    </row>
    <row r="59" spans="1:2" x14ac:dyDescent="0.25">
      <c r="A59" s="120" t="s">
        <v>253</v>
      </c>
      <c r="B59" s="119" t="str">
        <f>IF(AND(B58&gt;B57,B28="A jelentkező oktatási tapasztalata megfelelő.",B49="A jelentkező tudományos teljesítménye megfelelő.",B54="A jelentkező tudományos közéleti tevékenysége megfelelő."),"A jelentkező szakmai teljesítménye összességében megfelelő.","A jelentkező szakmai teljesítménye összességében nem megfelelő.")</f>
        <v>A jelentkező szakmai teljesítménye összességében nem megfelelő.</v>
      </c>
    </row>
  </sheetData>
  <sheetProtection algorithmName="SHA-512" hashValue="ZZrspHBZb7nhmtEsTqMsIsMcbAuBf/0TkH7r0T/MpmwNM1/3aiDp8YJhvG7O9M94WyxsZ+bkxMWAIqy0lCzk4A==" saltValue="18tdDpAmo57ECr2jWqeUyQ==" spinCount="100000" sheet="1" objects="1" scenarios="1"/>
  <mergeCells count="6">
    <mergeCell ref="L38:O38"/>
    <mergeCell ref="E2:O2"/>
    <mergeCell ref="E3:O3"/>
    <mergeCell ref="E4:O4"/>
    <mergeCell ref="E5:O5"/>
    <mergeCell ref="D7:O36"/>
  </mergeCells>
  <conditionalFormatting sqref="B34">
    <cfRule type="cellIs" dxfId="13" priority="8" operator="lessThan">
      <formula>$B$33</formula>
    </cfRule>
  </conditionalFormatting>
  <conditionalFormatting sqref="B37">
    <cfRule type="cellIs" dxfId="12" priority="7" operator="lessThan">
      <formula>$B$36</formula>
    </cfRule>
  </conditionalFormatting>
  <conditionalFormatting sqref="B40">
    <cfRule type="cellIs" dxfId="11" priority="6" operator="lessThan">
      <formula>$B$39</formula>
    </cfRule>
  </conditionalFormatting>
  <conditionalFormatting sqref="B43">
    <cfRule type="cellIs" dxfId="10" priority="5" operator="lessThan">
      <formula>$B$42</formula>
    </cfRule>
  </conditionalFormatting>
  <conditionalFormatting sqref="B46">
    <cfRule type="cellIs" dxfId="9" priority="4" operator="lessThan">
      <formula>$B$45</formula>
    </cfRule>
  </conditionalFormatting>
  <conditionalFormatting sqref="B48">
    <cfRule type="cellIs" dxfId="8" priority="3" operator="lessThan">
      <formula>$B$47</formula>
    </cfRule>
  </conditionalFormatting>
  <conditionalFormatting sqref="B53">
    <cfRule type="cellIs" dxfId="7" priority="2" operator="lessThan">
      <formula>$B$52</formula>
    </cfRule>
  </conditionalFormatting>
  <conditionalFormatting sqref="B21 C35">
    <cfRule type="cellIs" dxfId="6" priority="29" operator="lessThan">
      <formula>$B$20</formula>
    </cfRule>
  </conditionalFormatting>
  <conditionalFormatting sqref="B24">
    <cfRule type="cellIs" dxfId="5" priority="31" operator="lessThan">
      <formula>$B$23</formula>
    </cfRule>
  </conditionalFormatting>
  <conditionalFormatting sqref="B26">
    <cfRule type="cellIs" dxfId="4" priority="34" operator="lessThan">
      <formula>$B$25</formula>
    </cfRule>
  </conditionalFormatting>
  <conditionalFormatting sqref="B58">
    <cfRule type="cellIs" dxfId="3" priority="1" operator="lessThan">
      <formula>$B$57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Segédlap!$K$2:$K$11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47"/>
  <sheetViews>
    <sheetView workbookViewId="0">
      <selection activeCell="F13" sqref="F13"/>
    </sheetView>
  </sheetViews>
  <sheetFormatPr defaultRowHeight="15" x14ac:dyDescent="0.25"/>
  <cols>
    <col min="1" max="1" width="29.42578125" customWidth="1"/>
    <col min="2" max="2" width="22.7109375" style="13" customWidth="1"/>
    <col min="3" max="3" width="4.28515625" style="13" customWidth="1"/>
    <col min="4" max="4" width="20.7109375" style="13" customWidth="1"/>
    <col min="5" max="5" width="58.28515625" style="13" customWidth="1"/>
    <col min="6" max="6" width="54.85546875" customWidth="1"/>
    <col min="7" max="9" width="14.140625" customWidth="1"/>
    <col min="10" max="10" width="21" customWidth="1"/>
  </cols>
  <sheetData>
    <row r="1" spans="1:10" ht="18.75" x14ac:dyDescent="0.25">
      <c r="A1" s="175">
        <f>'TÖRZSADATOK ÉS ÖSSZESÍTÉS'!B6</f>
        <v>0</v>
      </c>
      <c r="B1" s="175"/>
      <c r="C1" s="175"/>
      <c r="D1" s="175"/>
      <c r="E1" s="175"/>
      <c r="F1" s="175"/>
      <c r="G1" s="175"/>
      <c r="H1" s="175"/>
      <c r="I1" s="175"/>
      <c r="J1" s="75"/>
    </row>
    <row r="2" spans="1:10" ht="18.75" x14ac:dyDescent="0.25">
      <c r="A2" s="175" t="s">
        <v>77</v>
      </c>
      <c r="B2" s="175"/>
      <c r="C2" s="175"/>
      <c r="D2" s="175"/>
      <c r="E2" s="175"/>
      <c r="F2" s="175"/>
      <c r="G2" s="175"/>
      <c r="H2" s="175"/>
      <c r="I2" s="175"/>
      <c r="J2" s="75"/>
    </row>
    <row r="3" spans="1:10" ht="30.75" thickBot="1" x14ac:dyDescent="0.3">
      <c r="A3" s="115" t="s">
        <v>7</v>
      </c>
      <c r="B3" s="123"/>
      <c r="C3" s="75"/>
      <c r="D3" s="75"/>
      <c r="E3" s="75"/>
      <c r="F3" s="75"/>
      <c r="G3" s="75"/>
      <c r="H3" s="75"/>
      <c r="I3" s="75"/>
      <c r="J3" s="75"/>
    </row>
    <row r="4" spans="1:10" ht="54.75" customHeight="1" x14ac:dyDescent="0.25">
      <c r="A4" s="177" t="s">
        <v>164</v>
      </c>
      <c r="B4" s="178"/>
      <c r="C4" s="75"/>
      <c r="D4" s="75"/>
      <c r="E4" s="136" t="str">
        <f>IF((COUNTBLANK(B3)+COUNTBLANK(B8:B47)+COUNTBLANK(G10:G13)+COUNTBLANK(G15:G16)+COUNTBLANK(G18:G21))&gt;0,Segédlap!C19,Segédlap!C20)</f>
        <v>A lapon még kitöltetlen cellák vannak.</v>
      </c>
      <c r="F4" s="75"/>
      <c r="G4" s="75"/>
      <c r="H4" s="75"/>
      <c r="I4" s="75"/>
      <c r="J4" s="75"/>
    </row>
    <row r="5" spans="1:10" ht="15.75" thickBot="1" x14ac:dyDescent="0.3">
      <c r="A5" s="13"/>
    </row>
    <row r="6" spans="1:10" ht="86.45" customHeight="1" x14ac:dyDescent="0.25">
      <c r="A6" s="173" t="s">
        <v>241</v>
      </c>
      <c r="B6" s="174"/>
      <c r="C6" s="15"/>
      <c r="D6" s="103"/>
      <c r="E6" s="104" t="s">
        <v>59</v>
      </c>
      <c r="F6" s="105" t="s">
        <v>11</v>
      </c>
      <c r="G6" s="104" t="s">
        <v>60</v>
      </c>
      <c r="H6" s="104" t="s">
        <v>159</v>
      </c>
      <c r="I6" s="106" t="s">
        <v>61</v>
      </c>
    </row>
    <row r="7" spans="1:10" ht="60" x14ac:dyDescent="0.25">
      <c r="A7" s="93"/>
      <c r="B7" s="94" t="s">
        <v>58</v>
      </c>
      <c r="D7" s="107" t="s">
        <v>70</v>
      </c>
      <c r="E7" s="97" t="s">
        <v>73</v>
      </c>
      <c r="F7" s="49">
        <v>800</v>
      </c>
      <c r="G7" s="49">
        <f>SUM(B8:B47)</f>
        <v>0</v>
      </c>
      <c r="H7" s="98"/>
      <c r="I7" s="117">
        <f>IF(G7&lt;F7,0,20)</f>
        <v>0</v>
      </c>
    </row>
    <row r="8" spans="1:10" x14ac:dyDescent="0.25">
      <c r="A8" s="95" t="s">
        <v>18</v>
      </c>
      <c r="B8" s="124"/>
      <c r="D8" s="109"/>
      <c r="E8" s="99" t="s">
        <v>62</v>
      </c>
      <c r="F8" s="98"/>
      <c r="G8" s="49">
        <f>G7-F7</f>
        <v>-800</v>
      </c>
      <c r="H8" s="49" t="s">
        <v>162</v>
      </c>
      <c r="I8" s="110">
        <f>IF(G8&lt;0,0,(G8/200)*5)</f>
        <v>0</v>
      </c>
    </row>
    <row r="9" spans="1:10" x14ac:dyDescent="0.25">
      <c r="A9" s="95" t="s">
        <v>19</v>
      </c>
      <c r="B9" s="124"/>
      <c r="D9" s="109"/>
      <c r="E9" s="97" t="s">
        <v>160</v>
      </c>
      <c r="F9" s="171" t="s">
        <v>65</v>
      </c>
      <c r="G9" s="171"/>
      <c r="H9" s="98"/>
      <c r="I9" s="108">
        <f>SUM(I10:I12)</f>
        <v>0</v>
      </c>
    </row>
    <row r="10" spans="1:10" x14ac:dyDescent="0.25">
      <c r="A10" s="95" t="s">
        <v>20</v>
      </c>
      <c r="B10" s="124"/>
      <c r="D10" s="109"/>
      <c r="E10" s="176" t="s">
        <v>161</v>
      </c>
      <c r="F10" s="100" t="s">
        <v>63</v>
      </c>
      <c r="G10" s="126"/>
      <c r="H10" s="49"/>
      <c r="I10" s="63">
        <f>G10*2</f>
        <v>0</v>
      </c>
    </row>
    <row r="11" spans="1:10" ht="15" customHeight="1" x14ac:dyDescent="0.25">
      <c r="A11" s="95" t="s">
        <v>21</v>
      </c>
      <c r="B11" s="124"/>
      <c r="D11" s="109"/>
      <c r="E11" s="176"/>
      <c r="F11" s="100" t="s">
        <v>64</v>
      </c>
      <c r="G11" s="126"/>
      <c r="H11" s="49"/>
      <c r="I11" s="63">
        <f>G11*4</f>
        <v>0</v>
      </c>
    </row>
    <row r="12" spans="1:10" x14ac:dyDescent="0.25">
      <c r="A12" s="95" t="s">
        <v>22</v>
      </c>
      <c r="B12" s="124"/>
      <c r="D12" s="109"/>
      <c r="E12" s="176"/>
      <c r="F12" s="100" t="s">
        <v>298</v>
      </c>
      <c r="G12" s="126"/>
      <c r="H12" s="49"/>
      <c r="I12" s="63">
        <f>G12*8</f>
        <v>0</v>
      </c>
    </row>
    <row r="13" spans="1:10" ht="30" x14ac:dyDescent="0.25">
      <c r="A13" s="95" t="s">
        <v>23</v>
      </c>
      <c r="B13" s="124"/>
      <c r="D13" s="109"/>
      <c r="E13" s="97" t="s">
        <v>163</v>
      </c>
      <c r="F13" s="101" t="s">
        <v>66</v>
      </c>
      <c r="G13" s="126"/>
      <c r="H13" s="5"/>
      <c r="I13" s="111">
        <f>G13*5</f>
        <v>0</v>
      </c>
    </row>
    <row r="14" spans="1:10" x14ac:dyDescent="0.25">
      <c r="A14" s="95" t="s">
        <v>24</v>
      </c>
      <c r="B14" s="124"/>
      <c r="D14" s="109"/>
      <c r="E14" s="49" t="s">
        <v>67</v>
      </c>
      <c r="F14" s="172" t="s">
        <v>66</v>
      </c>
      <c r="G14" s="172"/>
      <c r="H14" s="98"/>
      <c r="I14" s="111">
        <f>SUM(I15:I16)</f>
        <v>0</v>
      </c>
    </row>
    <row r="15" spans="1:10" x14ac:dyDescent="0.25">
      <c r="A15" s="95" t="s">
        <v>25</v>
      </c>
      <c r="B15" s="124"/>
      <c r="D15" s="109"/>
      <c r="E15" s="49"/>
      <c r="F15" s="102" t="s">
        <v>68</v>
      </c>
      <c r="G15" s="126"/>
      <c r="H15" s="49"/>
      <c r="I15" s="112">
        <f>G15*5</f>
        <v>0</v>
      </c>
    </row>
    <row r="16" spans="1:10" x14ac:dyDescent="0.25">
      <c r="A16" s="95" t="s">
        <v>26</v>
      </c>
      <c r="B16" s="124"/>
      <c r="D16" s="109"/>
      <c r="E16" s="49"/>
      <c r="F16" s="102" t="s">
        <v>69</v>
      </c>
      <c r="G16" s="126"/>
      <c r="H16" s="49"/>
      <c r="I16" s="112">
        <f>G16*10</f>
        <v>0</v>
      </c>
    </row>
    <row r="17" spans="1:9" x14ac:dyDescent="0.25">
      <c r="A17" s="95" t="s">
        <v>27</v>
      </c>
      <c r="B17" s="124"/>
      <c r="D17" s="107" t="s">
        <v>71</v>
      </c>
      <c r="E17" s="49"/>
      <c r="F17" s="5"/>
      <c r="G17" s="5"/>
      <c r="H17" s="5"/>
      <c r="I17" s="113">
        <f>SUM(I18:I21)</f>
        <v>0</v>
      </c>
    </row>
    <row r="18" spans="1:9" x14ac:dyDescent="0.25">
      <c r="A18" s="95" t="s">
        <v>28</v>
      </c>
      <c r="B18" s="124"/>
      <c r="D18" s="109"/>
      <c r="E18" s="99" t="s">
        <v>156</v>
      </c>
      <c r="F18" s="101" t="s">
        <v>157</v>
      </c>
      <c r="G18" s="148"/>
      <c r="H18" s="49"/>
      <c r="I18" s="112">
        <f>5*G18</f>
        <v>0</v>
      </c>
    </row>
    <row r="19" spans="1:9" x14ac:dyDescent="0.25">
      <c r="A19" s="95" t="s">
        <v>29</v>
      </c>
      <c r="B19" s="124"/>
      <c r="D19" s="109"/>
      <c r="E19" s="99" t="s">
        <v>72</v>
      </c>
      <c r="F19" s="101" t="s">
        <v>74</v>
      </c>
      <c r="G19" s="126"/>
      <c r="H19" s="49"/>
      <c r="I19" s="112">
        <f>G19*2</f>
        <v>0</v>
      </c>
    </row>
    <row r="20" spans="1:9" x14ac:dyDescent="0.25">
      <c r="A20" s="95" t="s">
        <v>30</v>
      </c>
      <c r="B20" s="124"/>
      <c r="D20" s="109"/>
      <c r="E20" s="99" t="s">
        <v>158</v>
      </c>
      <c r="F20" s="101" t="s">
        <v>66</v>
      </c>
      <c r="G20" s="126"/>
      <c r="H20" s="49"/>
      <c r="I20" s="112">
        <f>G20*5</f>
        <v>0</v>
      </c>
    </row>
    <row r="21" spans="1:9" ht="45" x14ac:dyDescent="0.25">
      <c r="A21" s="95" t="s">
        <v>31</v>
      </c>
      <c r="B21" s="124"/>
      <c r="D21" s="109"/>
      <c r="E21" s="97" t="s">
        <v>75</v>
      </c>
      <c r="F21" s="101" t="s">
        <v>76</v>
      </c>
      <c r="G21" s="126"/>
      <c r="H21" s="49"/>
      <c r="I21" s="112">
        <f>G21*20</f>
        <v>0</v>
      </c>
    </row>
    <row r="22" spans="1:9" ht="15.75" thickBot="1" x14ac:dyDescent="0.3">
      <c r="A22" s="95" t="s">
        <v>32</v>
      </c>
      <c r="B22" s="124"/>
      <c r="D22" s="114"/>
      <c r="E22" s="82"/>
      <c r="F22" s="56"/>
      <c r="G22" s="56" t="s">
        <v>92</v>
      </c>
      <c r="H22" s="56"/>
      <c r="I22" s="116">
        <f>SUM(I8,I9,I13,I14,I17)</f>
        <v>0</v>
      </c>
    </row>
    <row r="23" spans="1:9" x14ac:dyDescent="0.25">
      <c r="A23" s="95" t="s">
        <v>33</v>
      </c>
      <c r="B23" s="124"/>
    </row>
    <row r="24" spans="1:9" x14ac:dyDescent="0.25">
      <c r="A24" s="95" t="s">
        <v>34</v>
      </c>
      <c r="B24" s="124"/>
      <c r="F24" s="56" t="s">
        <v>12</v>
      </c>
      <c r="G24" s="170" t="str">
        <f>IF(I7=20,"A minimumkövetelmény teljesül.","A minimumkövetelmény nem teljesül.")</f>
        <v>A minimumkövetelmény nem teljesül.</v>
      </c>
      <c r="H24" s="170"/>
      <c r="I24" s="170"/>
    </row>
    <row r="25" spans="1:9" x14ac:dyDescent="0.25">
      <c r="A25" s="95" t="s">
        <v>35</v>
      </c>
      <c r="B25" s="124"/>
      <c r="F25" s="56" t="s">
        <v>13</v>
      </c>
      <c r="G25" s="170" t="str">
        <f>IF(AND(B3="Nem.",I22&lt;70),"A minimumkövetelmény nem teljesül.","A minimumkövetelmény teljesül.")</f>
        <v>A minimumkövetelmény teljesül.</v>
      </c>
      <c r="H25" s="170"/>
      <c r="I25" s="170"/>
    </row>
    <row r="26" spans="1:9" x14ac:dyDescent="0.25">
      <c r="A26" s="95" t="s">
        <v>36</v>
      </c>
      <c r="B26" s="124"/>
    </row>
    <row r="27" spans="1:9" x14ac:dyDescent="0.25">
      <c r="A27" s="95" t="s">
        <v>37</v>
      </c>
      <c r="B27" s="124"/>
    </row>
    <row r="28" spans="1:9" x14ac:dyDescent="0.25">
      <c r="A28" s="95" t="s">
        <v>38</v>
      </c>
      <c r="B28" s="124"/>
    </row>
    <row r="29" spans="1:9" x14ac:dyDescent="0.25">
      <c r="A29" s="95" t="s">
        <v>39</v>
      </c>
      <c r="B29" s="124"/>
    </row>
    <row r="30" spans="1:9" x14ac:dyDescent="0.25">
      <c r="A30" s="95" t="s">
        <v>40</v>
      </c>
      <c r="B30" s="124"/>
    </row>
    <row r="31" spans="1:9" x14ac:dyDescent="0.25">
      <c r="A31" s="95" t="s">
        <v>41</v>
      </c>
      <c r="B31" s="124"/>
    </row>
    <row r="32" spans="1:9" x14ac:dyDescent="0.25">
      <c r="A32" s="95" t="s">
        <v>42</v>
      </c>
      <c r="B32" s="124"/>
    </row>
    <row r="33" spans="1:2" x14ac:dyDescent="0.25">
      <c r="A33" s="95" t="s">
        <v>43</v>
      </c>
      <c r="B33" s="124"/>
    </row>
    <row r="34" spans="1:2" x14ac:dyDescent="0.25">
      <c r="A34" s="95" t="s">
        <v>44</v>
      </c>
      <c r="B34" s="124"/>
    </row>
    <row r="35" spans="1:2" x14ac:dyDescent="0.25">
      <c r="A35" s="95" t="s">
        <v>45</v>
      </c>
      <c r="B35" s="124"/>
    </row>
    <row r="36" spans="1:2" x14ac:dyDescent="0.25">
      <c r="A36" s="95" t="s">
        <v>46</v>
      </c>
      <c r="B36" s="124"/>
    </row>
    <row r="37" spans="1:2" x14ac:dyDescent="0.25">
      <c r="A37" s="95" t="s">
        <v>47</v>
      </c>
      <c r="B37" s="124"/>
    </row>
    <row r="38" spans="1:2" x14ac:dyDescent="0.25">
      <c r="A38" s="95" t="s">
        <v>48</v>
      </c>
      <c r="B38" s="124"/>
    </row>
    <row r="39" spans="1:2" x14ac:dyDescent="0.25">
      <c r="A39" s="95" t="s">
        <v>49</v>
      </c>
      <c r="B39" s="124"/>
    </row>
    <row r="40" spans="1:2" x14ac:dyDescent="0.25">
      <c r="A40" s="95" t="s">
        <v>50</v>
      </c>
      <c r="B40" s="124"/>
    </row>
    <row r="41" spans="1:2" x14ac:dyDescent="0.25">
      <c r="A41" s="95" t="s">
        <v>51</v>
      </c>
      <c r="B41" s="124"/>
    </row>
    <row r="42" spans="1:2" x14ac:dyDescent="0.25">
      <c r="A42" s="95" t="s">
        <v>52</v>
      </c>
      <c r="B42" s="124"/>
    </row>
    <row r="43" spans="1:2" x14ac:dyDescent="0.25">
      <c r="A43" s="95" t="s">
        <v>53</v>
      </c>
      <c r="B43" s="124"/>
    </row>
    <row r="44" spans="1:2" x14ac:dyDescent="0.25">
      <c r="A44" s="95" t="s">
        <v>54</v>
      </c>
      <c r="B44" s="124"/>
    </row>
    <row r="45" spans="1:2" x14ac:dyDescent="0.25">
      <c r="A45" s="95" t="s">
        <v>55</v>
      </c>
      <c r="B45" s="124"/>
    </row>
    <row r="46" spans="1:2" x14ac:dyDescent="0.25">
      <c r="A46" s="95" t="s">
        <v>56</v>
      </c>
      <c r="B46" s="124"/>
    </row>
    <row r="47" spans="1:2" ht="15.75" thickBot="1" x14ac:dyDescent="0.3">
      <c r="A47" s="96" t="s">
        <v>57</v>
      </c>
      <c r="B47" s="125"/>
    </row>
  </sheetData>
  <sheetProtection algorithmName="SHA-512" hashValue="+VVdN+kPLHh/+LrbPavd8NpT1Evxi5yAe1xIrZkqATGMMs1+B9sDpWox/G8BHYmnSlM02R1HKxZgWrjCplKV6Q==" saltValue="Bxp7kuV2zh1cYRUPPuR0Zw==" spinCount="100000" sheet="1" objects="1" scenarios="1"/>
  <mergeCells count="9">
    <mergeCell ref="G25:I25"/>
    <mergeCell ref="F9:G9"/>
    <mergeCell ref="F14:G14"/>
    <mergeCell ref="A6:B6"/>
    <mergeCell ref="A1:I1"/>
    <mergeCell ref="A2:I2"/>
    <mergeCell ref="E10:E12"/>
    <mergeCell ref="A4:B4"/>
    <mergeCell ref="G24:I2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Segédlap!$A$3:$A$4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61"/>
  <sheetViews>
    <sheetView topLeftCell="A18" workbookViewId="0">
      <selection activeCell="C14" sqref="C14"/>
    </sheetView>
  </sheetViews>
  <sheetFormatPr defaultRowHeight="15" x14ac:dyDescent="0.25"/>
  <cols>
    <col min="1" max="1" width="66" style="9" customWidth="1"/>
    <col min="2" max="2" width="53.7109375" customWidth="1"/>
    <col min="3" max="3" width="11.140625" customWidth="1"/>
    <col min="4" max="4" width="11.28515625" customWidth="1"/>
    <col min="5" max="5" width="10.42578125" customWidth="1"/>
    <col min="9" max="10" width="34.42578125" style="20" customWidth="1"/>
  </cols>
  <sheetData>
    <row r="1" spans="1:11" ht="18.75" x14ac:dyDescent="0.25">
      <c r="A1" s="175">
        <f>'TÖRZSADATOK ÉS ÖSSZESÍTÉS'!B6</f>
        <v>0</v>
      </c>
      <c r="B1" s="175"/>
      <c r="C1" s="175"/>
      <c r="D1" s="175"/>
      <c r="E1" s="175"/>
      <c r="F1" s="175"/>
      <c r="G1" s="175"/>
      <c r="I1" s="24"/>
      <c r="J1" s="25"/>
    </row>
    <row r="2" spans="1:11" ht="18.75" x14ac:dyDescent="0.25">
      <c r="A2" s="188" t="s">
        <v>85</v>
      </c>
      <c r="B2" s="188"/>
      <c r="C2" s="188"/>
      <c r="D2" s="188"/>
      <c r="E2" s="188"/>
      <c r="F2" s="188"/>
      <c r="G2" s="188"/>
      <c r="I2" s="27"/>
      <c r="J2" s="25"/>
    </row>
    <row r="3" spans="1:11" ht="45" customHeight="1" x14ac:dyDescent="0.25">
      <c r="B3" s="136" t="str">
        <f>IF((COUNTBLANK(C5:C8)+COUNTBLANK(C14:C25)+COUNTBLANK(F14:F25)+COUNTBLANK(C30:C38)+COUNTBLANK(F30:F38)+COUNTBLANK(A48)+COUNTBLANK(C47))&gt;0,Segédlap!C19,Segédlap!C20)</f>
        <v>A lapon még kitöltetlen cellák vannak.</v>
      </c>
      <c r="I3" s="26"/>
      <c r="J3" s="187"/>
    </row>
    <row r="4" spans="1:11" s="21" customFormat="1" ht="30.75" thickBot="1" x14ac:dyDescent="0.3">
      <c r="A4" s="22"/>
      <c r="B4" s="47" t="s">
        <v>78</v>
      </c>
      <c r="C4" s="47" t="s">
        <v>86</v>
      </c>
      <c r="D4" s="47" t="s">
        <v>87</v>
      </c>
      <c r="E4" s="47" t="s">
        <v>61</v>
      </c>
      <c r="H4" s="181" t="s">
        <v>259</v>
      </c>
      <c r="I4" s="181"/>
      <c r="J4" s="187"/>
    </row>
    <row r="5" spans="1:11" ht="45.75" customHeight="1" x14ac:dyDescent="0.25">
      <c r="A5" s="50" t="s">
        <v>94</v>
      </c>
      <c r="B5" s="51" t="s">
        <v>88</v>
      </c>
      <c r="C5" s="127"/>
      <c r="D5" s="52">
        <v>30</v>
      </c>
      <c r="E5" s="53">
        <f>C5*D5</f>
        <v>0</v>
      </c>
      <c r="H5" s="181"/>
      <c r="I5" s="181"/>
      <c r="J5" s="24"/>
    </row>
    <row r="6" spans="1:11" ht="45.75" customHeight="1" x14ac:dyDescent="0.25">
      <c r="A6" s="54" t="s">
        <v>95</v>
      </c>
      <c r="B6" s="48" t="s">
        <v>89</v>
      </c>
      <c r="C6" s="123"/>
      <c r="D6" s="49">
        <v>38</v>
      </c>
      <c r="E6" s="46">
        <f t="shared" ref="E6:E8" si="0">C6*D6</f>
        <v>0</v>
      </c>
      <c r="H6" s="181"/>
      <c r="I6" s="181"/>
      <c r="J6" s="24"/>
    </row>
    <row r="7" spans="1:11" ht="45.75" customHeight="1" x14ac:dyDescent="0.25">
      <c r="A7" s="55" t="s">
        <v>84</v>
      </c>
      <c r="B7" s="48" t="s">
        <v>90</v>
      </c>
      <c r="C7" s="123"/>
      <c r="D7" s="49">
        <v>45</v>
      </c>
      <c r="E7" s="46">
        <f t="shared" si="0"/>
        <v>0</v>
      </c>
      <c r="H7" s="181"/>
      <c r="I7" s="181"/>
      <c r="J7" s="24"/>
    </row>
    <row r="8" spans="1:11" ht="45.75" customHeight="1" thickBot="1" x14ac:dyDescent="0.3">
      <c r="A8" s="55" t="s">
        <v>93</v>
      </c>
      <c r="B8" s="48" t="s">
        <v>91</v>
      </c>
      <c r="C8" s="123"/>
      <c r="D8" s="49">
        <v>24</v>
      </c>
      <c r="E8" s="46">
        <f t="shared" si="0"/>
        <v>0</v>
      </c>
      <c r="H8" s="181"/>
      <c r="I8" s="181"/>
      <c r="J8" s="24"/>
    </row>
    <row r="9" spans="1:11" ht="105" x14ac:dyDescent="0.25">
      <c r="A9" s="144" t="s">
        <v>258</v>
      </c>
      <c r="B9" s="48" t="s">
        <v>79</v>
      </c>
      <c r="C9" s="68"/>
      <c r="D9" s="69"/>
      <c r="E9" s="46">
        <f>IF(AND('TÖRZSADATOK ÉS ÖSSZESÍTÉS'!B7="Pszichológia",SUM(E5:E8)&lt;24),'Pszicho segédlap'!F10,0)</f>
        <v>0</v>
      </c>
      <c r="H9" s="181"/>
      <c r="I9" s="181"/>
      <c r="J9" s="26"/>
    </row>
    <row r="10" spans="1:11" ht="16.5" thickBot="1" x14ac:dyDescent="0.3">
      <c r="A10" s="143" t="str">
        <f>Segédlap!C2</f>
        <v>Kérjük, töltse ki a TÖRZSADATOK ÉS ÖSSZESÍTÉS lap B7 celláját!</v>
      </c>
      <c r="B10" s="56" t="s">
        <v>92</v>
      </c>
      <c r="C10" s="56"/>
      <c r="D10" s="56"/>
      <c r="E10" s="57">
        <f>SUM(E5:E9)</f>
        <v>0</v>
      </c>
      <c r="H10" s="181"/>
      <c r="I10" s="181"/>
      <c r="J10" s="24"/>
    </row>
    <row r="11" spans="1:11" ht="16.5" thickBot="1" x14ac:dyDescent="0.3">
      <c r="A11" s="135"/>
      <c r="B11" s="185" t="str">
        <f>IF(E10&lt;24,"A minimumkövetelmény nem teljesül.","A minimumkövetelmény teljesül.")</f>
        <v>A minimumkövetelmény nem teljesül.</v>
      </c>
      <c r="C11" s="185"/>
      <c r="D11" s="185"/>
      <c r="E11" s="186"/>
      <c r="I11" s="24"/>
      <c r="J11" s="187"/>
    </row>
    <row r="12" spans="1:11" ht="16.5" thickBot="1" x14ac:dyDescent="0.3">
      <c r="B12" s="9"/>
      <c r="C12" s="9"/>
      <c r="D12" s="9"/>
      <c r="E12" s="9"/>
      <c r="I12" s="24"/>
      <c r="J12" s="187"/>
    </row>
    <row r="13" spans="1:11" ht="16.5" thickBot="1" x14ac:dyDescent="0.3">
      <c r="A13" s="60"/>
      <c r="B13" s="44"/>
      <c r="C13" s="45"/>
      <c r="D13" s="52"/>
      <c r="E13" s="45"/>
      <c r="F13" s="191" t="s">
        <v>108</v>
      </c>
      <c r="G13" s="192"/>
      <c r="I13" s="24"/>
      <c r="J13" s="187"/>
      <c r="K13">
        <f>'Pszicho segédlap'!F10</f>
        <v>0</v>
      </c>
    </row>
    <row r="14" spans="1:11" ht="45" x14ac:dyDescent="0.25">
      <c r="A14" s="90" t="s">
        <v>296</v>
      </c>
      <c r="B14" s="43" t="s">
        <v>96</v>
      </c>
      <c r="C14" s="123"/>
      <c r="D14" s="49">
        <v>5</v>
      </c>
      <c r="E14" s="5">
        <f t="shared" ref="E14:E25" si="1">C14*D14</f>
        <v>0</v>
      </c>
      <c r="F14" s="123"/>
      <c r="G14" s="46">
        <f>F14*$D14</f>
        <v>0</v>
      </c>
      <c r="I14" s="24"/>
      <c r="J14" s="187"/>
    </row>
    <row r="15" spans="1:11" ht="30" x14ac:dyDescent="0.25">
      <c r="A15" s="189" t="s">
        <v>107</v>
      </c>
      <c r="B15" s="43" t="s">
        <v>80</v>
      </c>
      <c r="C15" s="123"/>
      <c r="D15" s="49">
        <v>5</v>
      </c>
      <c r="E15" s="5">
        <f t="shared" si="1"/>
        <v>0</v>
      </c>
      <c r="F15" s="123"/>
      <c r="G15" s="46">
        <f t="shared" ref="G15:G25" si="2">F15*$D15</f>
        <v>0</v>
      </c>
      <c r="I15" s="23"/>
      <c r="J15" s="187"/>
    </row>
    <row r="16" spans="1:11" ht="30" x14ac:dyDescent="0.25">
      <c r="A16" s="190"/>
      <c r="B16" s="43" t="s">
        <v>97</v>
      </c>
      <c r="C16" s="123"/>
      <c r="D16" s="49">
        <v>6</v>
      </c>
      <c r="E16" s="5">
        <f t="shared" si="1"/>
        <v>0</v>
      </c>
      <c r="F16" s="123"/>
      <c r="G16" s="46">
        <f t="shared" si="2"/>
        <v>0</v>
      </c>
      <c r="I16" s="24"/>
      <c r="J16" s="187"/>
    </row>
    <row r="17" spans="1:10" ht="30.75" thickBot="1" x14ac:dyDescent="0.3">
      <c r="A17" s="190"/>
      <c r="B17" s="43" t="s">
        <v>81</v>
      </c>
      <c r="C17" s="123"/>
      <c r="D17" s="49">
        <v>6</v>
      </c>
      <c r="E17" s="5">
        <f t="shared" si="1"/>
        <v>0</v>
      </c>
      <c r="F17" s="123"/>
      <c r="G17" s="66">
        <f t="shared" si="2"/>
        <v>0</v>
      </c>
      <c r="H17" s="30"/>
      <c r="I17" s="24"/>
      <c r="J17" s="187"/>
    </row>
    <row r="18" spans="1:10" ht="30" customHeight="1" x14ac:dyDescent="0.25">
      <c r="A18" s="190"/>
      <c r="B18" s="43" t="s">
        <v>98</v>
      </c>
      <c r="C18" s="123"/>
      <c r="D18" s="49">
        <v>8</v>
      </c>
      <c r="E18" s="5">
        <f t="shared" si="1"/>
        <v>0</v>
      </c>
      <c r="F18" s="123"/>
      <c r="G18" s="5">
        <f t="shared" si="2"/>
        <v>0</v>
      </c>
      <c r="H18" s="71"/>
      <c r="I18" s="149" t="s">
        <v>261</v>
      </c>
      <c r="J18" s="187"/>
    </row>
    <row r="19" spans="1:10" x14ac:dyDescent="0.25">
      <c r="A19" s="190"/>
      <c r="B19" s="43" t="s">
        <v>101</v>
      </c>
      <c r="C19" s="123"/>
      <c r="D19" s="49">
        <v>8</v>
      </c>
      <c r="E19" s="5">
        <f t="shared" si="1"/>
        <v>0</v>
      </c>
      <c r="F19" s="123"/>
      <c r="G19" s="5">
        <f t="shared" si="2"/>
        <v>0</v>
      </c>
      <c r="H19" s="68"/>
      <c r="I19" s="162">
        <f>IF(AND('TÖRZSADATOK ÉS ÖSSZESÍTÉS'!B7="Pszichológia",SUM(E5:E8)&lt;24),'Pszicho segédlap'!E6,0)</f>
        <v>0</v>
      </c>
      <c r="J19" s="187"/>
    </row>
    <row r="20" spans="1:10" ht="15.75" x14ac:dyDescent="0.25">
      <c r="A20" s="190"/>
      <c r="B20" s="43" t="s">
        <v>102</v>
      </c>
      <c r="C20" s="123"/>
      <c r="D20" s="49">
        <v>8</v>
      </c>
      <c r="E20" s="5">
        <f t="shared" si="1"/>
        <v>0</v>
      </c>
      <c r="F20" s="123"/>
      <c r="G20" s="5">
        <f t="shared" si="2"/>
        <v>0</v>
      </c>
      <c r="H20" s="68"/>
      <c r="I20" s="161">
        <f>IF(AND('TÖRZSADATOK ÉS ÖSSZESÍTÉS'!B7="Pszichológia",SUM(E5:E8)&lt;24),'Pszicho segédlap'!E7,0)</f>
        <v>0</v>
      </c>
      <c r="J20" s="24"/>
    </row>
    <row r="21" spans="1:10" ht="15.75" x14ac:dyDescent="0.25">
      <c r="A21" s="190"/>
      <c r="B21" s="43" t="s">
        <v>83</v>
      </c>
      <c r="C21" s="123"/>
      <c r="D21" s="49">
        <v>8</v>
      </c>
      <c r="E21" s="5">
        <f t="shared" si="1"/>
        <v>0</v>
      </c>
      <c r="F21" s="123"/>
      <c r="G21" s="5">
        <f t="shared" si="2"/>
        <v>0</v>
      </c>
      <c r="H21" s="68"/>
      <c r="I21" s="73"/>
      <c r="J21" s="24"/>
    </row>
    <row r="22" spans="1:10" ht="30.75" thickBot="1" x14ac:dyDescent="0.3">
      <c r="A22" s="190"/>
      <c r="B22" s="43" t="s">
        <v>82</v>
      </c>
      <c r="C22" s="123"/>
      <c r="D22" s="49">
        <v>8</v>
      </c>
      <c r="E22" s="5">
        <f t="shared" si="1"/>
        <v>0</v>
      </c>
      <c r="F22" s="123"/>
      <c r="G22" s="5">
        <f t="shared" si="2"/>
        <v>0</v>
      </c>
      <c r="H22" s="68"/>
      <c r="I22" s="74"/>
      <c r="J22" s="24"/>
    </row>
    <row r="23" spans="1:10" ht="30" x14ac:dyDescent="0.25">
      <c r="A23" s="190"/>
      <c r="B23" s="43" t="s">
        <v>104</v>
      </c>
      <c r="C23" s="123"/>
      <c r="D23" s="49">
        <v>9</v>
      </c>
      <c r="E23" s="5">
        <f t="shared" si="1"/>
        <v>0</v>
      </c>
      <c r="F23" s="123"/>
      <c r="G23" s="5">
        <f t="shared" si="2"/>
        <v>0</v>
      </c>
      <c r="H23" s="68"/>
      <c r="I23" s="150">
        <f>IF(AND('TÖRZSADATOK ÉS ÖSSZESÍTÉS'!B7="Pszichológia",SUM(E5:E8)&lt;24),'Pszicho segédlap'!E8,0)</f>
        <v>0</v>
      </c>
      <c r="J23" s="24"/>
    </row>
    <row r="24" spans="1:10" ht="16.5" thickBot="1" x14ac:dyDescent="0.3">
      <c r="A24" s="190"/>
      <c r="B24" s="43" t="s">
        <v>103</v>
      </c>
      <c r="C24" s="123"/>
      <c r="D24" s="49">
        <v>9</v>
      </c>
      <c r="E24" s="5">
        <f t="shared" ref="E24" si="3">C24*D24</f>
        <v>0</v>
      </c>
      <c r="F24" s="123"/>
      <c r="G24" s="5">
        <f t="shared" si="2"/>
        <v>0</v>
      </c>
      <c r="H24" s="68"/>
      <c r="I24" s="74"/>
      <c r="J24" s="24"/>
    </row>
    <row r="25" spans="1:10" ht="30.75" thickBot="1" x14ac:dyDescent="0.3">
      <c r="A25" s="190"/>
      <c r="B25" s="43" t="s">
        <v>100</v>
      </c>
      <c r="C25" s="123"/>
      <c r="D25" s="49">
        <v>10</v>
      </c>
      <c r="E25" s="5">
        <f t="shared" si="1"/>
        <v>0</v>
      </c>
      <c r="F25" s="123"/>
      <c r="G25" s="5">
        <f t="shared" si="2"/>
        <v>0</v>
      </c>
      <c r="H25" s="72"/>
      <c r="I25" s="151">
        <f>IF(AND('TÖRZSADATOK ÉS ÖSSZESÍTÉS'!B7="Pszichológia",SUM(E5:E8)&lt;24),'Pszicho segédlap'!E9,0)</f>
        <v>0</v>
      </c>
      <c r="J25" s="24"/>
    </row>
    <row r="26" spans="1:10" ht="30" customHeight="1" x14ac:dyDescent="0.25">
      <c r="A26" s="61"/>
      <c r="B26" s="58" t="s">
        <v>109</v>
      </c>
      <c r="C26" s="59"/>
      <c r="D26" s="59"/>
      <c r="E26" s="59">
        <f>SUM(E14:E25)-SUM(I19*8,I20*8,I23*9,I25*10)</f>
        <v>0</v>
      </c>
      <c r="F26" s="59"/>
      <c r="G26" s="67">
        <f>SUM(G14:G25)</f>
        <v>0</v>
      </c>
      <c r="I26" s="24"/>
      <c r="J26" s="187"/>
    </row>
    <row r="27" spans="1:10" ht="16.5" thickBot="1" x14ac:dyDescent="0.3">
      <c r="A27" s="62"/>
      <c r="B27" s="182" t="str">
        <f>IF(E26&lt;96,"A minimumkövetelmény nem teljesül.","A minimumkövetelmény teljesül.")</f>
        <v>A minimumkövetelmény nem teljesül.</v>
      </c>
      <c r="C27" s="183"/>
      <c r="D27" s="183"/>
      <c r="E27" s="183"/>
      <c r="F27" s="183"/>
      <c r="G27" s="184"/>
      <c r="I27" s="24"/>
      <c r="J27" s="187"/>
    </row>
    <row r="28" spans="1:10" ht="16.5" thickBot="1" x14ac:dyDescent="0.3">
      <c r="B28" s="9"/>
      <c r="C28" s="9"/>
      <c r="D28" s="9"/>
      <c r="E28" s="9"/>
      <c r="F28" s="9"/>
      <c r="G28" s="9"/>
      <c r="I28" s="24"/>
      <c r="J28" s="24"/>
    </row>
    <row r="29" spans="1:10" ht="16.5" thickBot="1" x14ac:dyDescent="0.3">
      <c r="A29" s="38"/>
      <c r="B29" s="44"/>
      <c r="C29" s="45"/>
      <c r="D29" s="45"/>
      <c r="E29" s="45"/>
      <c r="F29" s="191" t="s">
        <v>108</v>
      </c>
      <c r="G29" s="192"/>
      <c r="I29" s="24"/>
      <c r="J29" s="24"/>
    </row>
    <row r="30" spans="1:10" ht="45" x14ac:dyDescent="0.25">
      <c r="A30" s="90" t="s">
        <v>297</v>
      </c>
      <c r="B30" s="43" t="s">
        <v>96</v>
      </c>
      <c r="C30" s="123"/>
      <c r="D30" s="5">
        <v>3</v>
      </c>
      <c r="E30" s="5">
        <f>C30*$D30</f>
        <v>0</v>
      </c>
      <c r="F30" s="123"/>
      <c r="G30" s="46">
        <f>F30*$D30</f>
        <v>0</v>
      </c>
      <c r="I30" s="24"/>
      <c r="J30" s="187"/>
    </row>
    <row r="31" spans="1:10" ht="30" x14ac:dyDescent="0.25">
      <c r="A31" s="39"/>
      <c r="B31" s="43" t="s">
        <v>80</v>
      </c>
      <c r="C31" s="123"/>
      <c r="D31" s="5">
        <v>3</v>
      </c>
      <c r="E31" s="5">
        <f t="shared" ref="E31:E38" si="4">C31*D31</f>
        <v>0</v>
      </c>
      <c r="F31" s="123"/>
      <c r="G31" s="46">
        <f t="shared" ref="G31:G38" si="5">F31*$D31</f>
        <v>0</v>
      </c>
      <c r="I31" s="24"/>
      <c r="J31" s="187"/>
    </row>
    <row r="32" spans="1:10" ht="30" x14ac:dyDescent="0.25">
      <c r="A32" s="39"/>
      <c r="B32" s="43" t="s">
        <v>97</v>
      </c>
      <c r="C32" s="123"/>
      <c r="D32" s="5">
        <v>4</v>
      </c>
      <c r="E32" s="5">
        <f t="shared" si="4"/>
        <v>0</v>
      </c>
      <c r="F32" s="123"/>
      <c r="G32" s="46">
        <f t="shared" si="5"/>
        <v>0</v>
      </c>
      <c r="I32" s="24"/>
      <c r="J32" s="187"/>
    </row>
    <row r="33" spans="1:10" ht="30" x14ac:dyDescent="0.25">
      <c r="A33" s="39"/>
      <c r="B33" s="43" t="s">
        <v>81</v>
      </c>
      <c r="C33" s="123"/>
      <c r="D33" s="5">
        <v>4</v>
      </c>
      <c r="E33" s="5">
        <f t="shared" si="4"/>
        <v>0</v>
      </c>
      <c r="F33" s="123"/>
      <c r="G33" s="46">
        <f t="shared" si="5"/>
        <v>0</v>
      </c>
      <c r="I33" s="24"/>
      <c r="J33" s="187"/>
    </row>
    <row r="34" spans="1:10" ht="30" x14ac:dyDescent="0.25">
      <c r="A34" s="39"/>
      <c r="B34" s="43" t="s">
        <v>98</v>
      </c>
      <c r="C34" s="123"/>
      <c r="D34" s="5">
        <v>5</v>
      </c>
      <c r="E34" s="5">
        <f t="shared" si="4"/>
        <v>0</v>
      </c>
      <c r="F34" s="123"/>
      <c r="G34" s="46">
        <f t="shared" si="5"/>
        <v>0</v>
      </c>
      <c r="I34" s="24"/>
      <c r="J34" s="187"/>
    </row>
    <row r="35" spans="1:10" ht="30" x14ac:dyDescent="0.25">
      <c r="A35" s="39"/>
      <c r="B35" s="43" t="s">
        <v>288</v>
      </c>
      <c r="C35" s="123"/>
      <c r="D35" s="5">
        <v>5</v>
      </c>
      <c r="E35" s="5">
        <f t="shared" si="4"/>
        <v>0</v>
      </c>
      <c r="F35" s="123"/>
      <c r="G35" s="46">
        <f t="shared" si="5"/>
        <v>0</v>
      </c>
      <c r="I35" s="24"/>
      <c r="J35" s="24"/>
    </row>
    <row r="36" spans="1:10" ht="30" x14ac:dyDescent="0.25">
      <c r="A36" s="39"/>
      <c r="B36" s="43" t="s">
        <v>82</v>
      </c>
      <c r="C36" s="123"/>
      <c r="D36" s="5">
        <v>5</v>
      </c>
      <c r="E36" s="5">
        <f t="shared" si="4"/>
        <v>0</v>
      </c>
      <c r="F36" s="123"/>
      <c r="G36" s="46">
        <f t="shared" si="5"/>
        <v>0</v>
      </c>
      <c r="I36" s="24"/>
      <c r="J36" s="24"/>
    </row>
    <row r="37" spans="1:10" ht="30" x14ac:dyDescent="0.25">
      <c r="A37" s="39"/>
      <c r="B37" s="43" t="s">
        <v>99</v>
      </c>
      <c r="C37" s="123"/>
      <c r="D37" s="5">
        <v>6</v>
      </c>
      <c r="E37" s="5">
        <f t="shared" si="4"/>
        <v>0</v>
      </c>
      <c r="F37" s="123"/>
      <c r="G37" s="46">
        <f t="shared" si="5"/>
        <v>0</v>
      </c>
      <c r="I37" s="16"/>
    </row>
    <row r="38" spans="1:10" ht="30" x14ac:dyDescent="0.25">
      <c r="A38" s="39"/>
      <c r="B38" s="43" t="s">
        <v>100</v>
      </c>
      <c r="C38" s="123"/>
      <c r="D38" s="5">
        <v>7</v>
      </c>
      <c r="E38" s="5">
        <f t="shared" si="4"/>
        <v>0</v>
      </c>
      <c r="F38" s="123"/>
      <c r="G38" s="46">
        <f t="shared" si="5"/>
        <v>0</v>
      </c>
      <c r="I38" s="16"/>
    </row>
    <row r="39" spans="1:10" ht="16.5" thickBot="1" x14ac:dyDescent="0.3">
      <c r="A39" s="29"/>
      <c r="B39" s="40" t="s">
        <v>92</v>
      </c>
      <c r="C39" s="41"/>
      <c r="D39" s="41"/>
      <c r="E39" s="40">
        <f>SUM(E30:E38)</f>
        <v>0</v>
      </c>
      <c r="F39" s="40"/>
      <c r="G39" s="42">
        <f>SUM(G30:G38)</f>
        <v>0</v>
      </c>
      <c r="I39" s="16"/>
    </row>
    <row r="40" spans="1:10" ht="15" customHeight="1" thickBot="1" x14ac:dyDescent="0.3">
      <c r="I40" s="24"/>
      <c r="J40" s="24"/>
    </row>
    <row r="41" spans="1:10" ht="15" customHeight="1" x14ac:dyDescent="0.25">
      <c r="B41" s="36" t="s">
        <v>110</v>
      </c>
      <c r="C41" s="37">
        <f>SUM(G39,G26)</f>
        <v>0</v>
      </c>
      <c r="I41" s="24"/>
      <c r="J41" s="24"/>
    </row>
    <row r="42" spans="1:10" ht="16.5" thickBot="1" x14ac:dyDescent="0.3">
      <c r="B42" s="179" t="str">
        <f>IF(C41&lt;66,"A minimumkövetelmény nem teljesül.","A minimumkövetelmény teljesül.")</f>
        <v>A minimumkövetelmény nem teljesül.</v>
      </c>
      <c r="C42" s="180"/>
      <c r="I42" s="24"/>
      <c r="J42" s="24"/>
    </row>
    <row r="43" spans="1:10" ht="16.5" thickBot="1" x14ac:dyDescent="0.3">
      <c r="B43" s="14"/>
      <c r="I43" s="24"/>
      <c r="J43" s="24"/>
    </row>
    <row r="44" spans="1:10" ht="15.75" x14ac:dyDescent="0.25">
      <c r="A44" s="34" t="s">
        <v>169</v>
      </c>
      <c r="B44" s="32" t="s">
        <v>113</v>
      </c>
      <c r="C44" s="37">
        <f>SUM(C25,C24,C23,C22,C18,C17,C16,C7,C6)</f>
        <v>0</v>
      </c>
      <c r="I44" s="24"/>
      <c r="J44" s="24"/>
    </row>
    <row r="45" spans="1:10" ht="16.5" thickBot="1" x14ac:dyDescent="0.3">
      <c r="A45" s="143" t="str">
        <f>Segédlap!C5</f>
        <v>Kérjük, töltse ki a TÖRZSADATOK ÉS ÖSSZESÍTÉS lap B7 celláját!</v>
      </c>
      <c r="B45" s="179" t="str">
        <f>IF(OR(AND(A45="A jelölt szakterülete az idegen nyelvű modern irodalmak és kultúrák.",C44&lt;9),AND(A45="A jelölt szakterülete NEM az idegen nyelvű modern irodalmak és kultúrák.",C44&lt;4)),"A minimumkövetelmény nem teljesül.","A minimumkövetelmény teljesül.")</f>
        <v>A minimumkövetelmény teljesül.</v>
      </c>
      <c r="C45" s="180"/>
      <c r="I45" s="24"/>
      <c r="J45" s="24"/>
    </row>
    <row r="46" spans="1:10" ht="16.5" thickBot="1" x14ac:dyDescent="0.3">
      <c r="A46" s="31"/>
      <c r="B46" s="14"/>
      <c r="I46" s="24"/>
      <c r="J46" s="24"/>
    </row>
    <row r="47" spans="1:10" ht="30" x14ac:dyDescent="0.25">
      <c r="A47" s="35" t="s">
        <v>114</v>
      </c>
      <c r="B47" s="28" t="s">
        <v>115</v>
      </c>
      <c r="C47" s="137"/>
      <c r="I47" s="24"/>
      <c r="J47" s="24"/>
    </row>
    <row r="48" spans="1:10" ht="16.5" thickBot="1" x14ac:dyDescent="0.3">
      <c r="A48" s="138"/>
      <c r="B48" s="179" t="str">
        <f>IF(C47&lt;A48/4,"A minimumkövetelmény nem teljesül.","A minimumkövetelmény teljesül.")</f>
        <v>A minimumkövetelmény teljesül.</v>
      </c>
      <c r="C48" s="180"/>
      <c r="I48" s="24"/>
      <c r="J48" s="24"/>
    </row>
    <row r="49" spans="9:10" ht="15.75" x14ac:dyDescent="0.25">
      <c r="I49" s="24"/>
      <c r="J49" s="24"/>
    </row>
    <row r="50" spans="9:10" ht="15.75" x14ac:dyDescent="0.25">
      <c r="I50" s="24"/>
      <c r="J50" s="33"/>
    </row>
    <row r="53" spans="9:10" x14ac:dyDescent="0.25">
      <c r="I53" s="17"/>
    </row>
    <row r="55" spans="9:10" x14ac:dyDescent="0.25">
      <c r="I55" s="18"/>
    </row>
    <row r="57" spans="9:10" x14ac:dyDescent="0.25">
      <c r="I57" s="18"/>
    </row>
    <row r="58" spans="9:10" x14ac:dyDescent="0.25">
      <c r="I58" s="17"/>
    </row>
    <row r="59" spans="9:10" x14ac:dyDescent="0.25">
      <c r="I59" s="19"/>
    </row>
    <row r="60" spans="9:10" x14ac:dyDescent="0.25">
      <c r="I60" s="17"/>
    </row>
    <row r="61" spans="9:10" x14ac:dyDescent="0.25">
      <c r="I61" s="19"/>
    </row>
  </sheetData>
  <sheetProtection algorithmName="SHA-512" hashValue="WSmPu1dA1mM3VOUykGBuyzQ90dkOhr/co296TCCYV0+iOQ6ifNbb8JZsQ7F4vhq4s0SoYYIBZXB2wNHgmbrjPw==" saltValue="qc381sr2BCWrj39QbTs+1A==" spinCount="100000" sheet="1" objects="1" scenarios="1"/>
  <mergeCells count="18">
    <mergeCell ref="J32:J34"/>
    <mergeCell ref="A1:G1"/>
    <mergeCell ref="A2:G2"/>
    <mergeCell ref="A15:A25"/>
    <mergeCell ref="F29:G29"/>
    <mergeCell ref="F13:G13"/>
    <mergeCell ref="J3:J4"/>
    <mergeCell ref="J11:J14"/>
    <mergeCell ref="J15:J16"/>
    <mergeCell ref="J17:J19"/>
    <mergeCell ref="J26:J27"/>
    <mergeCell ref="J30:J31"/>
    <mergeCell ref="B42:C42"/>
    <mergeCell ref="B45:C45"/>
    <mergeCell ref="B48:C48"/>
    <mergeCell ref="H4:I10"/>
    <mergeCell ref="B27:G27"/>
    <mergeCell ref="B11:E11"/>
  </mergeCells>
  <conditionalFormatting sqref="A10">
    <cfRule type="expression" dxfId="2" priority="2" stopIfTrue="1">
      <formula>"Kérjük, töltse ki a TÖRZSADATOK ÉS ÖSSZESÍTÉS lap B5 celláját!"</formula>
    </cfRule>
  </conditionalFormatting>
  <conditionalFormatting sqref="A45">
    <cfRule type="expression" dxfId="1" priority="1" stopIfTrue="1">
      <formula>"Kérjük, töltse ki a TÖRZSADATOK ÉS ÖSSZESÍTÉS lap B5 celláját!"</formula>
    </cfRule>
  </conditionalFormatting>
  <dataValidations count="1">
    <dataValidation type="decimal" operator="lessThanOrEqual" showInputMessage="1" showErrorMessage="1" errorTitle="Hibás adat!" error="A PhD megszerzése óta megjelent publikációk száma nem lehet magasabb, mint az adott kategóriába tartozó összes publikáció száma." sqref="F14:F25 F30:F38">
      <formula1>C14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Segédlap!$C$5:$C$6</xm:f>
          </x14:formula1>
          <xm:sqref>A46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4"/>
  <sheetViews>
    <sheetView workbookViewId="0">
      <selection activeCell="E12" sqref="E12"/>
    </sheetView>
  </sheetViews>
  <sheetFormatPr defaultRowHeight="15" x14ac:dyDescent="0.25"/>
  <cols>
    <col min="1" max="1" width="41.5703125" customWidth="1"/>
    <col min="2" max="2" width="59.42578125" customWidth="1"/>
    <col min="3" max="5" width="12.85546875" customWidth="1"/>
    <col min="8" max="18" width="0" hidden="1" customWidth="1"/>
    <col min="21" max="22" width="32.5703125" style="21" customWidth="1"/>
  </cols>
  <sheetData>
    <row r="1" spans="1:8" ht="18.75" x14ac:dyDescent="0.25">
      <c r="A1" s="175">
        <f>'TÖRZSADATOK ÉS ÖSSZESÍTÉS'!B6</f>
        <v>0</v>
      </c>
      <c r="B1" s="193"/>
      <c r="C1" s="193"/>
      <c r="D1" s="193"/>
      <c r="E1" s="193"/>
      <c r="F1" s="75"/>
      <c r="G1" s="75"/>
      <c r="H1" s="75"/>
    </row>
    <row r="2" spans="1:8" ht="18.75" x14ac:dyDescent="0.25">
      <c r="A2" s="188" t="s">
        <v>128</v>
      </c>
      <c r="B2" s="188"/>
      <c r="C2" s="188"/>
      <c r="D2" s="188"/>
      <c r="E2" s="188"/>
      <c r="F2" s="75"/>
      <c r="G2" s="75"/>
      <c r="H2" s="75"/>
    </row>
    <row r="3" spans="1:8" ht="33.75" customHeight="1" x14ac:dyDescent="0.25">
      <c r="B3" s="136" t="str">
        <f>IF((COUNTBLANK(C5:C6)+COUNTBLANK(C8:C12)+COUNTBLANK(C15:C21)+COUNTBLANK(C23:C24)+COUNTBLANK(C26:C27)+COUNTBLANK(C29)+COUNTBLANK(C31:C32)+COUNTBLANK(C34:C35)+COUNTBLANK(C37)+COUNTBLANK(B39)+COUNTBLANK(C43)+COUNTBLANK(C45)+COUNTBLANK(C47)+COUNTBLANK(C49)+COUNTBLANK(C51))&gt;0,Segédlap!C19,Segédlap!C20)</f>
        <v>A lapon még kitöltetlen cellák vannak.</v>
      </c>
      <c r="F3" s="76"/>
      <c r="G3" s="76"/>
      <c r="H3" s="76"/>
    </row>
    <row r="4" spans="1:8" ht="15.75" thickBot="1" x14ac:dyDescent="0.3">
      <c r="C4" s="47" t="s">
        <v>153</v>
      </c>
      <c r="D4" s="47" t="s">
        <v>154</v>
      </c>
      <c r="E4" s="47" t="s">
        <v>61</v>
      </c>
    </row>
    <row r="5" spans="1:8" ht="30" x14ac:dyDescent="0.25">
      <c r="A5" s="50" t="s">
        <v>130</v>
      </c>
      <c r="B5" s="78" t="s">
        <v>143</v>
      </c>
      <c r="C5" s="128"/>
      <c r="D5" s="52">
        <v>10</v>
      </c>
      <c r="E5" s="79">
        <f>C5*D5</f>
        <v>0</v>
      </c>
    </row>
    <row r="6" spans="1:8" ht="30.75" thickBot="1" x14ac:dyDescent="0.3">
      <c r="A6" s="80" t="s">
        <v>131</v>
      </c>
      <c r="B6" s="81" t="s">
        <v>144</v>
      </c>
      <c r="C6" s="129"/>
      <c r="D6" s="82">
        <v>5</v>
      </c>
      <c r="E6" s="65">
        <f>C6*D6</f>
        <v>0</v>
      </c>
    </row>
    <row r="7" spans="1:8" ht="15.75" thickBot="1" x14ac:dyDescent="0.3">
      <c r="C7" s="13"/>
      <c r="D7" s="13"/>
      <c r="E7" s="13"/>
    </row>
    <row r="8" spans="1:8" x14ac:dyDescent="0.25">
      <c r="A8" s="50" t="s">
        <v>116</v>
      </c>
      <c r="B8" s="84" t="s">
        <v>133</v>
      </c>
      <c r="C8" s="128"/>
      <c r="D8" s="52">
        <v>1</v>
      </c>
      <c r="E8" s="79">
        <f>C8*D8</f>
        <v>0</v>
      </c>
    </row>
    <row r="9" spans="1:8" x14ac:dyDescent="0.25">
      <c r="A9" s="197" t="s">
        <v>132</v>
      </c>
      <c r="B9" s="83" t="s">
        <v>134</v>
      </c>
      <c r="C9" s="130"/>
      <c r="D9" s="49">
        <v>2</v>
      </c>
      <c r="E9" s="63">
        <f t="shared" ref="E9:E12" si="0">C9*D9</f>
        <v>0</v>
      </c>
    </row>
    <row r="10" spans="1:8" x14ac:dyDescent="0.25">
      <c r="A10" s="198"/>
      <c r="B10" s="83" t="s">
        <v>135</v>
      </c>
      <c r="C10" s="130"/>
      <c r="D10" s="49">
        <v>3</v>
      </c>
      <c r="E10" s="63">
        <f t="shared" si="0"/>
        <v>0</v>
      </c>
    </row>
    <row r="11" spans="1:8" x14ac:dyDescent="0.25">
      <c r="A11" s="198"/>
      <c r="B11" s="83" t="s">
        <v>136</v>
      </c>
      <c r="C11" s="130"/>
      <c r="D11" s="49">
        <v>4</v>
      </c>
      <c r="E11" s="63">
        <f t="shared" si="0"/>
        <v>0</v>
      </c>
    </row>
    <row r="12" spans="1:8" ht="15.75" thickBot="1" x14ac:dyDescent="0.3">
      <c r="A12" s="199"/>
      <c r="B12" s="85" t="s">
        <v>137</v>
      </c>
      <c r="C12" s="129"/>
      <c r="D12" s="82">
        <v>5</v>
      </c>
      <c r="E12" s="65">
        <f t="shared" si="0"/>
        <v>0</v>
      </c>
    </row>
    <row r="13" spans="1:8" ht="15.75" thickBot="1" x14ac:dyDescent="0.3">
      <c r="A13" s="21"/>
      <c r="C13" s="13"/>
      <c r="D13" s="13"/>
      <c r="E13" s="13"/>
    </row>
    <row r="14" spans="1:8" x14ac:dyDescent="0.25">
      <c r="A14" s="50" t="s">
        <v>117</v>
      </c>
      <c r="B14" s="78"/>
      <c r="C14" s="52"/>
      <c r="D14" s="52"/>
      <c r="E14" s="79"/>
    </row>
    <row r="15" spans="1:8" x14ac:dyDescent="0.25">
      <c r="A15" s="194" t="s">
        <v>145</v>
      </c>
      <c r="B15" s="83" t="s">
        <v>138</v>
      </c>
      <c r="C15" s="130"/>
      <c r="D15" s="49">
        <v>1</v>
      </c>
      <c r="E15" s="63">
        <f t="shared" ref="E15:E51" si="1">C15*D15</f>
        <v>0</v>
      </c>
    </row>
    <row r="16" spans="1:8" x14ac:dyDescent="0.25">
      <c r="A16" s="195"/>
      <c r="B16" s="83" t="s">
        <v>139</v>
      </c>
      <c r="C16" s="130"/>
      <c r="D16" s="49">
        <v>2</v>
      </c>
      <c r="E16" s="63">
        <f t="shared" si="1"/>
        <v>0</v>
      </c>
    </row>
    <row r="17" spans="1:5" ht="15.75" thickBot="1" x14ac:dyDescent="0.3">
      <c r="A17" s="196"/>
      <c r="B17" s="85" t="s">
        <v>140</v>
      </c>
      <c r="C17" s="129"/>
      <c r="D17" s="82">
        <v>3</v>
      </c>
      <c r="E17" s="65">
        <f t="shared" si="1"/>
        <v>0</v>
      </c>
    </row>
    <row r="18" spans="1:5" x14ac:dyDescent="0.25">
      <c r="A18" s="195" t="s">
        <v>146</v>
      </c>
      <c r="B18" s="91" t="s">
        <v>138</v>
      </c>
      <c r="C18" s="131"/>
      <c r="D18" s="92">
        <v>4</v>
      </c>
      <c r="E18" s="70">
        <f t="shared" si="1"/>
        <v>0</v>
      </c>
    </row>
    <row r="19" spans="1:5" x14ac:dyDescent="0.25">
      <c r="A19" s="195"/>
      <c r="B19" s="83" t="s">
        <v>139</v>
      </c>
      <c r="C19" s="130"/>
      <c r="D19" s="49">
        <v>5</v>
      </c>
      <c r="E19" s="63">
        <f t="shared" si="1"/>
        <v>0</v>
      </c>
    </row>
    <row r="20" spans="1:5" x14ac:dyDescent="0.25">
      <c r="A20" s="195"/>
      <c r="B20" s="83" t="s">
        <v>141</v>
      </c>
      <c r="C20" s="130"/>
      <c r="D20" s="49">
        <v>6</v>
      </c>
      <c r="E20" s="63">
        <f t="shared" si="1"/>
        <v>0</v>
      </c>
    </row>
    <row r="21" spans="1:5" ht="15.75" thickBot="1" x14ac:dyDescent="0.3">
      <c r="A21" s="196"/>
      <c r="B21" s="85" t="s">
        <v>140</v>
      </c>
      <c r="C21" s="129"/>
      <c r="D21" s="82">
        <v>7</v>
      </c>
      <c r="E21" s="65">
        <f t="shared" si="1"/>
        <v>0</v>
      </c>
    </row>
    <row r="22" spans="1:5" ht="15.75" thickBot="1" x14ac:dyDescent="0.3">
      <c r="C22" s="13"/>
      <c r="D22" s="13"/>
      <c r="E22" s="13"/>
    </row>
    <row r="23" spans="1:5" ht="30" x14ac:dyDescent="0.25">
      <c r="A23" s="50" t="s">
        <v>155</v>
      </c>
      <c r="B23" s="78" t="s">
        <v>147</v>
      </c>
      <c r="C23" s="128"/>
      <c r="D23" s="52">
        <v>2</v>
      </c>
      <c r="E23" s="79">
        <f t="shared" si="1"/>
        <v>0</v>
      </c>
    </row>
    <row r="24" spans="1:5" ht="30.75" thickBot="1" x14ac:dyDescent="0.3">
      <c r="A24" s="86" t="s">
        <v>142</v>
      </c>
      <c r="B24" s="81" t="s">
        <v>148</v>
      </c>
      <c r="C24" s="129"/>
      <c r="D24" s="82">
        <v>4</v>
      </c>
      <c r="E24" s="65">
        <f t="shared" si="1"/>
        <v>0</v>
      </c>
    </row>
    <row r="25" spans="1:5" ht="15.75" thickBot="1" x14ac:dyDescent="0.3">
      <c r="C25" s="13"/>
      <c r="D25" s="13"/>
      <c r="E25" s="13"/>
    </row>
    <row r="26" spans="1:5" ht="30" x14ac:dyDescent="0.25">
      <c r="A26" s="50" t="s">
        <v>118</v>
      </c>
      <c r="B26" s="78" t="s">
        <v>149</v>
      </c>
      <c r="C26" s="128"/>
      <c r="D26" s="52">
        <v>2</v>
      </c>
      <c r="E26" s="79">
        <f t="shared" si="1"/>
        <v>0</v>
      </c>
    </row>
    <row r="27" spans="1:5" ht="30.75" thickBot="1" x14ac:dyDescent="0.3">
      <c r="A27" s="64"/>
      <c r="B27" s="81" t="s">
        <v>150</v>
      </c>
      <c r="C27" s="129"/>
      <c r="D27" s="82">
        <v>3</v>
      </c>
      <c r="E27" s="65">
        <f t="shared" si="1"/>
        <v>0</v>
      </c>
    </row>
    <row r="28" spans="1:5" ht="15.75" thickBot="1" x14ac:dyDescent="0.3">
      <c r="C28" s="13"/>
      <c r="D28" s="13"/>
      <c r="E28" s="13"/>
    </row>
    <row r="29" spans="1:5" ht="30.75" thickBot="1" x14ac:dyDescent="0.3">
      <c r="A29" s="90" t="s">
        <v>129</v>
      </c>
      <c r="B29" s="87"/>
      <c r="C29" s="132"/>
      <c r="D29" s="88">
        <v>6</v>
      </c>
      <c r="E29" s="89">
        <f t="shared" si="1"/>
        <v>0</v>
      </c>
    </row>
    <row r="30" spans="1:5" ht="15.75" thickBot="1" x14ac:dyDescent="0.3">
      <c r="C30" s="13"/>
      <c r="D30" s="13"/>
      <c r="E30" s="13"/>
    </row>
    <row r="31" spans="1:5" ht="30" x14ac:dyDescent="0.25">
      <c r="A31" s="50" t="s">
        <v>119</v>
      </c>
      <c r="B31" s="78" t="s">
        <v>147</v>
      </c>
      <c r="C31" s="128"/>
      <c r="D31" s="52">
        <v>1</v>
      </c>
      <c r="E31" s="79">
        <f t="shared" si="1"/>
        <v>0</v>
      </c>
    </row>
    <row r="32" spans="1:5" ht="30.75" thickBot="1" x14ac:dyDescent="0.3">
      <c r="A32" s="64"/>
      <c r="B32" s="81" t="s">
        <v>148</v>
      </c>
      <c r="C32" s="129"/>
      <c r="D32" s="82">
        <v>2</v>
      </c>
      <c r="E32" s="65">
        <f t="shared" si="1"/>
        <v>0</v>
      </c>
    </row>
    <row r="33" spans="1:5" ht="15.75" thickBot="1" x14ac:dyDescent="0.3">
      <c r="C33" s="13"/>
      <c r="D33" s="13"/>
      <c r="E33" s="13"/>
    </row>
    <row r="34" spans="1:5" ht="30" x14ac:dyDescent="0.25">
      <c r="A34" s="90" t="s">
        <v>120</v>
      </c>
      <c r="B34" s="78" t="s">
        <v>151</v>
      </c>
      <c r="C34" s="128"/>
      <c r="D34" s="52">
        <v>4</v>
      </c>
      <c r="E34" s="79">
        <f t="shared" si="1"/>
        <v>0</v>
      </c>
    </row>
    <row r="35" spans="1:5" ht="30.75" thickBot="1" x14ac:dyDescent="0.3">
      <c r="A35" s="64"/>
      <c r="B35" s="81" t="s">
        <v>152</v>
      </c>
      <c r="C35" s="129"/>
      <c r="D35" s="82">
        <v>2</v>
      </c>
      <c r="E35" s="65">
        <f t="shared" si="1"/>
        <v>0</v>
      </c>
    </row>
    <row r="36" spans="1:5" ht="15.75" thickBot="1" x14ac:dyDescent="0.3">
      <c r="C36" s="13"/>
      <c r="D36" s="13"/>
      <c r="E36" s="13"/>
    </row>
    <row r="37" spans="1:5" ht="45.75" thickBot="1" x14ac:dyDescent="0.3">
      <c r="A37" s="90" t="s">
        <v>121</v>
      </c>
      <c r="B37" s="87"/>
      <c r="C37" s="132"/>
      <c r="D37" s="88">
        <v>5</v>
      </c>
      <c r="E37" s="89">
        <f t="shared" si="1"/>
        <v>0</v>
      </c>
    </row>
    <row r="38" spans="1:5" ht="15.75" thickBot="1" x14ac:dyDescent="0.3">
      <c r="C38" s="13"/>
      <c r="D38" s="13"/>
      <c r="E38" s="13"/>
    </row>
    <row r="39" spans="1:5" ht="15" customHeight="1" x14ac:dyDescent="0.25">
      <c r="A39" s="200" t="s">
        <v>122</v>
      </c>
      <c r="B39" s="202"/>
      <c r="C39" s="208" t="s">
        <v>249</v>
      </c>
      <c r="D39" s="209"/>
      <c r="E39" s="205">
        <f>IF(B39=Segédlap!I4,15,IF('3. Tudományos közéleti tev.'!B39:B41=Segédlap!I3,10,IF(B39=Segédlap!I2,5,0)))</f>
        <v>0</v>
      </c>
    </row>
    <row r="40" spans="1:5" x14ac:dyDescent="0.25">
      <c r="A40" s="201"/>
      <c r="B40" s="203"/>
      <c r="C40" s="210"/>
      <c r="D40" s="211"/>
      <c r="E40" s="206"/>
    </row>
    <row r="41" spans="1:5" ht="15.75" thickBot="1" x14ac:dyDescent="0.3">
      <c r="A41" s="201"/>
      <c r="B41" s="204"/>
      <c r="C41" s="212"/>
      <c r="D41" s="213"/>
      <c r="E41" s="207"/>
    </row>
    <row r="42" spans="1:5" ht="15.75" thickBot="1" x14ac:dyDescent="0.3">
      <c r="B42" s="77"/>
      <c r="C42" s="13"/>
      <c r="D42" s="13"/>
      <c r="E42" s="13"/>
    </row>
    <row r="43" spans="1:5" ht="15.75" thickBot="1" x14ac:dyDescent="0.3">
      <c r="A43" s="90" t="s">
        <v>123</v>
      </c>
      <c r="B43" s="87"/>
      <c r="C43" s="132"/>
      <c r="D43" s="88">
        <v>2</v>
      </c>
      <c r="E43" s="89">
        <f t="shared" si="1"/>
        <v>0</v>
      </c>
    </row>
    <row r="44" spans="1:5" ht="15.75" thickBot="1" x14ac:dyDescent="0.3">
      <c r="C44" s="13"/>
      <c r="D44" s="13"/>
      <c r="E44" s="13"/>
    </row>
    <row r="45" spans="1:5" ht="15.75" thickBot="1" x14ac:dyDescent="0.3">
      <c r="A45" s="90" t="s">
        <v>124</v>
      </c>
      <c r="B45" s="87"/>
      <c r="C45" s="132"/>
      <c r="D45" s="88">
        <v>1</v>
      </c>
      <c r="E45" s="89">
        <f t="shared" si="1"/>
        <v>0</v>
      </c>
    </row>
    <row r="46" spans="1:5" ht="15.75" thickBot="1" x14ac:dyDescent="0.3">
      <c r="C46" s="13"/>
      <c r="D46" s="13"/>
      <c r="E46" s="13"/>
    </row>
    <row r="47" spans="1:5" ht="15.75" thickBot="1" x14ac:dyDescent="0.3">
      <c r="A47" s="90" t="s">
        <v>125</v>
      </c>
      <c r="B47" s="87"/>
      <c r="C47" s="132"/>
      <c r="D47" s="88">
        <v>5</v>
      </c>
      <c r="E47" s="89">
        <f t="shared" si="1"/>
        <v>0</v>
      </c>
    </row>
    <row r="48" spans="1:5" ht="15.75" thickBot="1" x14ac:dyDescent="0.3">
      <c r="C48" s="13"/>
      <c r="D48" s="13"/>
      <c r="E48" s="13"/>
    </row>
    <row r="49" spans="1:5" ht="15.75" thickBot="1" x14ac:dyDescent="0.3">
      <c r="A49" s="90" t="s">
        <v>126</v>
      </c>
      <c r="B49" s="87"/>
      <c r="C49" s="132"/>
      <c r="D49" s="88">
        <v>5</v>
      </c>
      <c r="E49" s="89">
        <f t="shared" si="1"/>
        <v>0</v>
      </c>
    </row>
    <row r="50" spans="1:5" ht="15.75" thickBot="1" x14ac:dyDescent="0.3">
      <c r="C50" s="13"/>
      <c r="D50" s="13"/>
      <c r="E50" s="13"/>
    </row>
    <row r="51" spans="1:5" ht="30.75" thickBot="1" x14ac:dyDescent="0.3">
      <c r="A51" s="90" t="s">
        <v>127</v>
      </c>
      <c r="B51" s="87"/>
      <c r="C51" s="132"/>
      <c r="D51" s="88">
        <v>5</v>
      </c>
      <c r="E51" s="89">
        <f t="shared" si="1"/>
        <v>0</v>
      </c>
    </row>
    <row r="53" spans="1:5" x14ac:dyDescent="0.25">
      <c r="A53" s="56" t="s">
        <v>92</v>
      </c>
      <c r="B53" s="56"/>
      <c r="C53" s="56"/>
      <c r="D53" s="56"/>
      <c r="E53" s="57">
        <f>SUM(E51,E49,E47,E45,E43,E39:E41,E37,E34:E35,E31:E32,E29,E26:E27,E23:E24,E18:E21,E15:E17,E8:E12,E5:E6)</f>
        <v>0</v>
      </c>
    </row>
    <row r="54" spans="1:5" ht="15.75" thickBot="1" x14ac:dyDescent="0.3">
      <c r="A54" s="185" t="str">
        <f>IF(E53&lt;50,"A minimumkövetelmény nem teljesül.","A minimumkövetelmény teljesül.")</f>
        <v>A minimumkövetelmény nem teljesül.</v>
      </c>
      <c r="B54" s="185"/>
      <c r="C54" s="185"/>
      <c r="D54" s="185"/>
      <c r="E54" s="186"/>
    </row>
  </sheetData>
  <sheetProtection algorithmName="SHA-512" hashValue="faFBgyvR7336eKK4UOo0GYadtcPiMWnrXB3ep3f75XHKBTlr2V023eIJLo/HHUoLn3xkIpyuD1WDe7tbTbPqmA==" saltValue="NfOJUAqygjx0rPseifJdSQ==" spinCount="100000" sheet="1" objects="1" scenarios="1"/>
  <mergeCells count="10">
    <mergeCell ref="A1:E1"/>
    <mergeCell ref="A2:E2"/>
    <mergeCell ref="A54:E54"/>
    <mergeCell ref="A15:A17"/>
    <mergeCell ref="A18:A21"/>
    <mergeCell ref="A9:A12"/>
    <mergeCell ref="A39:A41"/>
    <mergeCell ref="B39:B41"/>
    <mergeCell ref="E39:E41"/>
    <mergeCell ref="C39:D4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Segédlap!$I$2:$I$5</xm:f>
          </x14:formula1>
          <xm:sqref>B39:B41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workbookViewId="0">
      <selection activeCell="K10" sqref="K10"/>
    </sheetView>
  </sheetViews>
  <sheetFormatPr defaultRowHeight="15" x14ac:dyDescent="0.25"/>
  <cols>
    <col min="3" max="3" width="18.28515625" customWidth="1"/>
    <col min="9" max="9" width="32" bestFit="1" customWidth="1"/>
    <col min="10" max="10" width="11.85546875" bestFit="1" customWidth="1"/>
    <col min="11" max="11" width="38" customWidth="1"/>
    <col min="13" max="13" width="110.5703125" customWidth="1"/>
  </cols>
  <sheetData>
    <row r="1" spans="1:13" x14ac:dyDescent="0.25">
      <c r="A1" s="9" t="s">
        <v>195</v>
      </c>
      <c r="C1" s="9" t="s">
        <v>190</v>
      </c>
      <c r="I1" s="9" t="s">
        <v>244</v>
      </c>
      <c r="J1" s="9"/>
      <c r="K1" s="134" t="s">
        <v>188</v>
      </c>
      <c r="M1" s="9" t="s">
        <v>205</v>
      </c>
    </row>
    <row r="2" spans="1:13" ht="15.75" x14ac:dyDescent="0.25">
      <c r="A2" t="s">
        <v>8</v>
      </c>
      <c r="C2" t="str">
        <f>IF(ISBLANK('TÖRZSADATOK ÉS ÖSSZESÍTÉS'!B7),"Kérjük, töltse ki a TÖRZSADATOK ÉS ÖSSZESÍTÉS lap B7 celláját!",IF('TÖRZSADATOK ÉS ÖSSZESÍTÉS'!B7="Pszichológia","A jelölt szakterülete a pszichológia.","A jelölt szakterülete nem a pszichológia."))</f>
        <v>Kérjük, töltse ki a TÖRZSADATOK ÉS ÖSSZESÍTÉS lap B7 celláját!</v>
      </c>
      <c r="I2" t="s">
        <v>245</v>
      </c>
      <c r="K2" s="133" t="s">
        <v>178</v>
      </c>
    </row>
    <row r="3" spans="1:13" ht="15.75" x14ac:dyDescent="0.25">
      <c r="A3" t="s">
        <v>9</v>
      </c>
      <c r="I3" t="s">
        <v>246</v>
      </c>
      <c r="K3" s="133" t="s">
        <v>179</v>
      </c>
      <c r="M3" t="s">
        <v>206</v>
      </c>
    </row>
    <row r="4" spans="1:13" ht="15.75" x14ac:dyDescent="0.25">
      <c r="A4" t="s">
        <v>10</v>
      </c>
      <c r="C4" s="9" t="s">
        <v>192</v>
      </c>
      <c r="I4" t="s">
        <v>247</v>
      </c>
      <c r="J4" s="9"/>
      <c r="K4" s="133" t="s">
        <v>180</v>
      </c>
      <c r="M4" s="140">
        <f>'TÖRZSADATOK ÉS ÖSSZESÍTÉS'!B6</f>
        <v>0</v>
      </c>
    </row>
    <row r="5" spans="1:13" ht="15.75" x14ac:dyDescent="0.25">
      <c r="C5" t="str">
        <f>IF(ISBLANK('TÖRZSADATOK ÉS ÖSSZESÍTÉS'!B7),"Kérjük, töltse ki a TÖRZSADATOK ÉS ÖSSZESÍTÉS lap B7 celláját!",IF('TÖRZSADATOK ÉS ÖSSZESÍTÉS'!B7="Modern irodalmak és kultúrák","A jelölt szakterülete az idegen nyelvű modern irodalmak és kultúrák.","A jelölt szakterülete NEM az idegen nyelvű modern irodalmak és kultúrák."))</f>
        <v>Kérjük, töltse ki a TÖRZSADATOK ÉS ÖSSZESÍTÉS lap B7 celláját!</v>
      </c>
      <c r="I5" t="s">
        <v>248</v>
      </c>
      <c r="K5" s="133" t="s">
        <v>181</v>
      </c>
      <c r="M5" t="s">
        <v>231</v>
      </c>
    </row>
    <row r="6" spans="1:13" ht="15.75" x14ac:dyDescent="0.25">
      <c r="K6" s="133" t="s">
        <v>182</v>
      </c>
      <c r="M6" t="str">
        <f>IF(OR('TÖRZSADATOK ÉS ÖSSZESÍTÉS'!B28="A jelentkező oktatási tapasztalata nem megfelelő.",'TÖRZSADATOK ÉS ÖSSZESÍTÉS'!B49="A jelentkező tudományos teljesítménye nem megfelelő.",'TÖRZSADATOK ÉS ÖSSZESÍTÉS'!B54="A jelentkező tudományos közéleti tevékenysége nem megfelelő.",'TÖRZSADATOK ÉS ÖSSZESÍTÉS'!B59="A jelentkező szakmai teljesítménye összességében nem megfelelő."),Segédlap!C27,Segédlap!C26)</f>
        <v xml:space="preserve">nem bocsátható további eljárásra, </v>
      </c>
    </row>
    <row r="7" spans="1:13" ht="15.75" x14ac:dyDescent="0.25">
      <c r="K7" s="133" t="s">
        <v>183</v>
      </c>
      <c r="M7" t="s">
        <v>233</v>
      </c>
    </row>
    <row r="8" spans="1:13" ht="15.75" x14ac:dyDescent="0.25">
      <c r="A8" t="s">
        <v>240</v>
      </c>
      <c r="K8" s="133" t="s">
        <v>184</v>
      </c>
      <c r="M8" t="str">
        <f>IF(M6=C27,C30,C29)</f>
        <v xml:space="preserve">nem teljesíti </v>
      </c>
    </row>
    <row r="9" spans="1:13" ht="15.75" x14ac:dyDescent="0.25">
      <c r="K9" s="133" t="s">
        <v>185</v>
      </c>
      <c r="M9" t="s">
        <v>208</v>
      </c>
    </row>
    <row r="10" spans="1:13" ht="15.75" x14ac:dyDescent="0.25">
      <c r="K10" s="133" t="s">
        <v>186</v>
      </c>
      <c r="M10" t="s">
        <v>210</v>
      </c>
    </row>
    <row r="11" spans="1:13" ht="15.75" x14ac:dyDescent="0.25">
      <c r="C11" s="10" t="s">
        <v>191</v>
      </c>
      <c r="K11" s="133" t="s">
        <v>187</v>
      </c>
      <c r="M11" t="str">
        <f>IF('TÖRZSADATOK ÉS ÖSSZESÍTÉS'!B28="A jelentkező oktatási tapasztalata megfelelő.",Segédlap!C32,Segédlap!C33)</f>
        <v>a részkövetelmények nem maradéktalan teljesítése miatt nem megfelelő</v>
      </c>
    </row>
    <row r="12" spans="1:13" x14ac:dyDescent="0.25">
      <c r="B12" t="s">
        <v>193</v>
      </c>
      <c r="C12" t="s">
        <v>105</v>
      </c>
      <c r="M12" t="str">
        <f>IF(AND('TÖRZSADATOK ÉS ÖSSZESÍTÉS'!B28="A jelentkező oktatási tapasztalata nem megfelelő.",'TÖRZSADATOK ÉS ÖSSZESÍTÉS'!B26&gt;'TÖRZSADATOK ÉS ÖSSZESÍTÉS'!B25),Segédlap!C36,Segédlap!C35)</f>
        <v>, mert</v>
      </c>
    </row>
    <row r="13" spans="1:13" x14ac:dyDescent="0.25">
      <c r="B13" t="s">
        <v>194</v>
      </c>
      <c r="C13" t="s">
        <v>106</v>
      </c>
      <c r="M13" t="s">
        <v>213</v>
      </c>
    </row>
    <row r="14" spans="1:13" x14ac:dyDescent="0.25">
      <c r="M14">
        <f>'TÖRZSADATOK ÉS ÖSSZESÍTÉS'!B25</f>
        <v>90</v>
      </c>
    </row>
    <row r="15" spans="1:13" x14ac:dyDescent="0.25">
      <c r="B15" t="s">
        <v>193</v>
      </c>
      <c r="C15" t="s">
        <v>112</v>
      </c>
      <c r="M15" t="str">
        <f>IF('TÖRZSADATOK ÉS ÖSSZESÍTÉS'!B26='TÖRZSADATOK ÉS ÖSSZESÍTÉS'!B25,Segédlap!C42,Segédlap!C41)</f>
        <v xml:space="preserve"> ponttal szemben</v>
      </c>
    </row>
    <row r="16" spans="1:13" x14ac:dyDescent="0.25">
      <c r="B16" t="s">
        <v>194</v>
      </c>
      <c r="C16" t="s">
        <v>111</v>
      </c>
      <c r="M16" t="s">
        <v>238</v>
      </c>
    </row>
    <row r="17" spans="3:13" x14ac:dyDescent="0.25">
      <c r="M17">
        <f>'TÖRZSADATOK ÉS ÖSSZESÍTÉS'!B26</f>
        <v>0</v>
      </c>
    </row>
    <row r="18" spans="3:13" x14ac:dyDescent="0.25">
      <c r="M18" t="s">
        <v>214</v>
      </c>
    </row>
    <row r="19" spans="3:13" x14ac:dyDescent="0.25">
      <c r="C19" t="s">
        <v>196</v>
      </c>
      <c r="M19" t="str">
        <f>IF(M12=C36,C39,C38)</f>
        <v>ami</v>
      </c>
    </row>
    <row r="20" spans="3:13" x14ac:dyDescent="0.25">
      <c r="C20" t="s">
        <v>197</v>
      </c>
      <c r="M20" t="s">
        <v>217</v>
      </c>
    </row>
    <row r="21" spans="3:13" x14ac:dyDescent="0.25">
      <c r="M21" t="str">
        <f>IF('1. Oktatási tapasztalat '!B3="Igen."," kutatói munkakörben foglalkoztatott személy lévén - a következőkből adódik össze: "," nem kutatói munkakörben foglalkoztatott személy lévén - a következőkből adódik össze: ")</f>
        <v xml:space="preserve"> nem kutatói munkakörben foglalkoztatott személy lévén - a következőkből adódik össze: </v>
      </c>
    </row>
    <row r="22" spans="3:13" x14ac:dyDescent="0.25">
      <c r="C22" t="s">
        <v>198</v>
      </c>
      <c r="M22" t="str">
        <f>'TÖRZSADATOK ÉS ÖSSZESÍTÉS'!A19</f>
        <v>(i)  Kontaktórák:</v>
      </c>
    </row>
    <row r="23" spans="3:13" x14ac:dyDescent="0.25">
      <c r="C23" t="s">
        <v>199</v>
      </c>
      <c r="M23" t="str">
        <f>'TÖRZSADATOK ÉS ÖSSZESÍTÉS'!A20</f>
        <v>minimumkövetelmény:</v>
      </c>
    </row>
    <row r="24" spans="3:13" x14ac:dyDescent="0.25">
      <c r="M24">
        <f>'TÖRZSADATOK ÉS ÖSSZESÍTÉS'!B20</f>
        <v>20</v>
      </c>
    </row>
    <row r="25" spans="3:13" x14ac:dyDescent="0.25">
      <c r="M25" t="str">
        <f>'TÖRZSADATOK ÉS ÖSSZESÍTÉS'!A21</f>
        <v>elért pontszám:</v>
      </c>
    </row>
    <row r="26" spans="3:13" x14ac:dyDescent="0.25">
      <c r="C26" t="s">
        <v>207</v>
      </c>
      <c r="M26">
        <f>'TÖRZSADATOK ÉS ÖSSZESÍTÉS'!B21</f>
        <v>0</v>
      </c>
    </row>
    <row r="27" spans="3:13" x14ac:dyDescent="0.25">
      <c r="C27" t="s">
        <v>232</v>
      </c>
      <c r="M27" t="str">
        <f>'TÖRZSADATOK ÉS ÖSSZESÍTÉS'!A22</f>
        <v>(ii) Egyéb oktatási teljesítmény:</v>
      </c>
    </row>
    <row r="28" spans="3:13" x14ac:dyDescent="0.25">
      <c r="M28">
        <f>'TÖRZSADATOK ÉS ÖSSZESÍTÉS'!B23</f>
        <v>70</v>
      </c>
    </row>
    <row r="29" spans="3:13" x14ac:dyDescent="0.25">
      <c r="C29" t="s">
        <v>234</v>
      </c>
      <c r="M29" t="str">
        <f>'TÖRZSADATOK ÉS ÖSSZESÍTÉS'!A24</f>
        <v>elért pontszám:</v>
      </c>
    </row>
    <row r="30" spans="3:13" x14ac:dyDescent="0.25">
      <c r="C30" t="s">
        <v>235</v>
      </c>
      <c r="M30">
        <f>'TÖRZSADATOK ÉS ÖSSZESÍTÉS'!B24</f>
        <v>0</v>
      </c>
    </row>
    <row r="31" spans="3:13" x14ac:dyDescent="0.25">
      <c r="M31" t="s">
        <v>218</v>
      </c>
    </row>
    <row r="32" spans="3:13" x14ac:dyDescent="0.25">
      <c r="C32" t="s">
        <v>209</v>
      </c>
      <c r="M32" t="str">
        <f>IF('TÖRZSADATOK ÉS ÖSSZESÍTÉS'!B49="A jelentkező tudományos teljesítménye megfelelő.",Segédlap!C32,Segédlap!C33)</f>
        <v>a részkövetelmények nem maradéktalan teljesítése miatt nem megfelelő</v>
      </c>
    </row>
    <row r="33" spans="2:13" x14ac:dyDescent="0.25">
      <c r="C33" t="s">
        <v>251</v>
      </c>
      <c r="M33" t="str">
        <f>IF(AND('TÖRZSADATOK ÉS ÖSSZESÍTÉS'!B49="A jelentkező tudományos teljesítménye nem megfelelő.",'TÖRZSADATOK ÉS ÖSSZESÍTÉS'!B48&gt;'TÖRZSADATOK ÉS ÖSSZESÍTÉS'!B47),Segédlap!C36,Segédlap!C35)</f>
        <v>, mert</v>
      </c>
    </row>
    <row r="34" spans="2:13" x14ac:dyDescent="0.25">
      <c r="C34" t="s">
        <v>255</v>
      </c>
      <c r="M34" t="s">
        <v>213</v>
      </c>
    </row>
    <row r="35" spans="2:13" x14ac:dyDescent="0.25">
      <c r="C35" t="s">
        <v>227</v>
      </c>
      <c r="M35">
        <f>'TÖRZSADATOK ÉS ÖSSZESÍTÉS'!B47</f>
        <v>120</v>
      </c>
    </row>
    <row r="36" spans="2:13" x14ac:dyDescent="0.25">
      <c r="C36" t="s">
        <v>228</v>
      </c>
      <c r="M36" t="str">
        <f>IF('TÖRZSADATOK ÉS ÖSSZESÍTÉS'!B48='TÖRZSADATOK ÉS ÖSSZESÍTÉS'!B47,Segédlap!C42,Segédlap!C41)</f>
        <v xml:space="preserve"> ponttal szemben</v>
      </c>
    </row>
    <row r="37" spans="2:13" x14ac:dyDescent="0.25">
      <c r="M37" t="s">
        <v>238</v>
      </c>
    </row>
    <row r="38" spans="2:13" x14ac:dyDescent="0.25">
      <c r="C38" t="s">
        <v>211</v>
      </c>
      <c r="M38">
        <f>'TÖRZSADATOK ÉS ÖSSZESÍTÉS'!B48</f>
        <v>0</v>
      </c>
    </row>
    <row r="39" spans="2:13" x14ac:dyDescent="0.25">
      <c r="C39" t="s">
        <v>212</v>
      </c>
      <c r="M39" t="s">
        <v>214</v>
      </c>
    </row>
    <row r="40" spans="2:13" x14ac:dyDescent="0.25">
      <c r="M40" t="str">
        <f>IF(M33=C36,C39,C38)</f>
        <v>ami</v>
      </c>
    </row>
    <row r="41" spans="2:13" x14ac:dyDescent="0.25">
      <c r="C41" t="s">
        <v>236</v>
      </c>
      <c r="F41" t="s">
        <v>239</v>
      </c>
      <c r="M41" t="s">
        <v>242</v>
      </c>
    </row>
    <row r="42" spans="2:13" x14ac:dyDescent="0.25">
      <c r="C42" t="s">
        <v>237</v>
      </c>
      <c r="M42" s="140">
        <f>'TÖRZSADATOK ÉS ÖSSZESÍTÉS'!B7</f>
        <v>0</v>
      </c>
    </row>
    <row r="43" spans="2:13" x14ac:dyDescent="0.25">
      <c r="M43" t="s">
        <v>243</v>
      </c>
    </row>
    <row r="44" spans="2:13" x14ac:dyDescent="0.25">
      <c r="C44" t="s">
        <v>215</v>
      </c>
      <c r="M44" t="s">
        <v>219</v>
      </c>
    </row>
    <row r="45" spans="2:13" x14ac:dyDescent="0.25">
      <c r="C45" t="s">
        <v>216</v>
      </c>
      <c r="M45" t="str">
        <f>'TÖRZSADATOK ÉS ÖSSZESÍTÉS'!A32</f>
        <v>1. kategória:</v>
      </c>
    </row>
    <row r="46" spans="2:13" x14ac:dyDescent="0.25">
      <c r="M46" t="str">
        <f>'TÖRZSADATOK ÉS ÖSSZESÍTÉS'!A33</f>
        <v>minimumkövetelmény:</v>
      </c>
    </row>
    <row r="47" spans="2:13" ht="46.5" customHeight="1" x14ac:dyDescent="0.25">
      <c r="B47" s="215" t="str">
        <f>CONCATENATE(M3,M4,M5,M6,M7,M8,M9)</f>
        <v>A rendelkezésemre álló dokumentumok alapján megállapítottam, hogy 0, aki a Debreceni Egyetem Bölcsészettudományi Karán habilitációs kérelmet nyújtott be, nem bocsátható további eljárásra, mert az ehhez szükséges minimális feltételeket nem teljesíti az alábbiakra tekintettel:</v>
      </c>
      <c r="C47" s="215"/>
      <c r="D47" s="215"/>
      <c r="E47" s="215"/>
      <c r="F47" s="215"/>
      <c r="G47" s="215"/>
      <c r="H47" s="215"/>
      <c r="I47" s="215"/>
      <c r="J47" s="215"/>
      <c r="K47" s="215"/>
      <c r="M47">
        <f>'TÖRZSADATOK ÉS ÖSSZESÍTÉS'!B33</f>
        <v>24</v>
      </c>
    </row>
    <row r="48" spans="2:13" ht="64.5" customHeight="1" x14ac:dyDescent="0.25">
      <c r="B48" s="215" t="str">
        <f>CONCATENATE(M10,M11,M12,M13,M14,M15,M16,M17,M18,M19,M20,M21,"
",M22," ",M23," ",M24,F41,M48,M25," ",M26,".
",M27," ",M23," ",M28,F41,M48,M29," ",M30,".")</f>
        <v>a. A jelentkező oktatási tapasztalata a részkövetelmények nem maradéktalan teljesítése miatt nem megfelelő, mert ezen a területen az esetében minimálisan elvárt 90 ponttal szemben összesen 0 pontot ért el, ami -  nem kutatói munkakörben foglalkoztatott személy lévén - a következőkből adódik össze: 
(i)  Kontaktórák: minimumkövetelmény: 20 pont, elért pontszám: 0.
(ii) Egyéb oktatási teljesítmény: minimumkövetelmény: 70 pont, elért pontszám: 0.</v>
      </c>
      <c r="C48" s="215"/>
      <c r="D48" s="215"/>
      <c r="E48" s="215"/>
      <c r="F48" s="215"/>
      <c r="G48" s="215"/>
      <c r="H48" s="215"/>
      <c r="I48" s="215"/>
      <c r="J48" s="215"/>
      <c r="K48" s="215"/>
      <c r="M48" t="s">
        <v>229</v>
      </c>
    </row>
    <row r="49" spans="2:13" ht="31.5" customHeight="1" x14ac:dyDescent="0.25">
      <c r="B49" s="215" t="str">
        <f>CONCATENATE(M31,M32,M33,M34,M35,M36,M37,M38,M39,M40,M41,M42,M43)</f>
        <v>b. A jelentkező tudományos teljesítménye a részkövetelmények nem maradéktalan teljesítése miatt nem megfelelő, mert ezen a területen az esetében minimálisan elvárt 120 ponttal szemben összesen 0 pontot ért el, ami - szakterületére tekintettel (0) - a következőkből adódik össze:</v>
      </c>
      <c r="C49" s="215"/>
      <c r="D49" s="215"/>
      <c r="E49" s="215"/>
      <c r="F49" s="215"/>
      <c r="G49" s="215"/>
      <c r="H49" s="215"/>
      <c r="I49" s="215"/>
      <c r="J49" s="215"/>
      <c r="K49" s="215"/>
      <c r="M49" t="str">
        <f>'TÖRZSADATOK ÉS ÖSSZESÍTÉS'!A34</f>
        <v>elért pontszám:</v>
      </c>
    </row>
    <row r="50" spans="2:13" ht="81" customHeight="1" x14ac:dyDescent="0.25">
      <c r="B50" s="215" t="str">
        <f>CONCATENATE(M44,M45," ",M46," ",M47,F41,M48,M49," ",M50,".
",M51,M53," ",M54," ",M55,F41,M48,M56," ",M57,".
",M58,M59," ",M60,F41,M48,M61," ",M62,".
",M63,M64," ",M65,F41,M48,M66," ",M67,".
",M68,M69," ",M70,F41,M48,M71," ",M72,".")</f>
        <v>(i) Publikációk, 1. kategória: minimumkövetelmény: 24 pont, elért pontszám: 0.
(ii) Publikációk, 2. kategória: minimumkövetelmény: 96 pont, elért pontszám: 0.
(iii) A PhD óta megjelent publikációk: minimumkövetelmény: 66 pont, elért pontszám: 0.
(iv) Idegen nyelvű publikációk: minimumkövetelmény: 4 pont, elért pontszám: 0.
(v) Idézettség: minimumkövetelmény: 0 pont, elért pontszám: 0.</v>
      </c>
      <c r="C50" s="215"/>
      <c r="D50" s="215"/>
      <c r="E50" s="215"/>
      <c r="F50" s="215"/>
      <c r="G50" s="215"/>
      <c r="H50" s="215"/>
      <c r="I50" s="215"/>
      <c r="J50" s="215"/>
      <c r="K50" s="215"/>
      <c r="M50">
        <f>'TÖRZSADATOK ÉS ÖSSZESÍTÉS'!B34</f>
        <v>0</v>
      </c>
    </row>
    <row r="51" spans="2:13" ht="42" customHeight="1" x14ac:dyDescent="0.25">
      <c r="B51" s="215" t="str">
        <f>CONCATENATE(M73,M74,M75,M76,M77,M78,M79,M80,"
")</f>
        <v xml:space="preserve">c.  A jelentkező tudományos közéleti teljesítménye nem megfelelő, mert ezen a területen a minimálisan elvárt 50 ponttal szemben összesen 0 pontot ért el.
</v>
      </c>
      <c r="C51" s="215"/>
      <c r="D51" s="215"/>
      <c r="E51" s="215"/>
      <c r="F51" s="215"/>
      <c r="G51" s="215"/>
      <c r="H51" s="215"/>
      <c r="I51" s="215"/>
      <c r="J51" s="215"/>
      <c r="K51" s="215"/>
      <c r="M51" t="s">
        <v>220</v>
      </c>
    </row>
    <row r="52" spans="2:13" ht="42" customHeight="1" x14ac:dyDescent="0.25">
      <c r="B52" s="215" t="str">
        <f>CONCATENATE(M82,M83,M84,M85,M86,M87,M88)</f>
        <v>d.  A jelentkező összteljesítménye nem megfelelő, mert a minimálisan elvárt 360 ponttal szemben mindösszesen 0 pontot ért el.</v>
      </c>
      <c r="C52" s="215"/>
      <c r="D52" s="215"/>
      <c r="E52" s="215"/>
      <c r="F52" s="215"/>
      <c r="G52" s="215"/>
      <c r="H52" s="215"/>
      <c r="I52" s="215"/>
      <c r="J52" s="215"/>
      <c r="K52" s="215"/>
    </row>
    <row r="53" spans="2:13" ht="31.5" customHeight="1" x14ac:dyDescent="0.25">
      <c r="B53" s="214" t="str">
        <f ca="1">CONCATENATE(M91,M92,M93,M94,"
 ")</f>
        <v xml:space="preserve">Kelt: 0, 2026. június 29.
 </v>
      </c>
      <c r="C53" s="214"/>
      <c r="D53" s="214"/>
      <c r="E53" s="214"/>
      <c r="F53" s="214"/>
      <c r="G53" s="214"/>
      <c r="H53" s="214"/>
      <c r="I53" s="214"/>
      <c r="J53" s="214"/>
      <c r="K53" s="214"/>
      <c r="M53" t="str">
        <f>'TÖRZSADATOK ÉS ÖSSZESÍTÉS'!A35</f>
        <v>2. kategória:</v>
      </c>
    </row>
    <row r="54" spans="2:13" x14ac:dyDescent="0.25">
      <c r="B54" s="140">
        <f>M95</f>
        <v>0</v>
      </c>
      <c r="M54" t="str">
        <f>'TÖRZSADATOK ÉS ÖSSZESÍTÉS'!A36</f>
        <v>minimumkövetelmény:</v>
      </c>
    </row>
    <row r="55" spans="2:13" x14ac:dyDescent="0.25">
      <c r="G55" t="s">
        <v>250</v>
      </c>
      <c r="H55" t="str">
        <f>IF('2. Tudományos eredmények'!F14&lt;='2. Tudományos eredmények'!C14,"OK","NOTOK")</f>
        <v>OK</v>
      </c>
      <c r="M55">
        <f>'TÖRZSADATOK ÉS ÖSSZESÍTÉS'!B36</f>
        <v>96</v>
      </c>
    </row>
    <row r="56" spans="2:13" x14ac:dyDescent="0.25">
      <c r="G56" t="s">
        <v>250</v>
      </c>
      <c r="H56" t="str">
        <f>IF('2. Tudományos eredmények'!F15&lt;='2. Tudományos eredmények'!C15,"OK","NOTOK")</f>
        <v>OK</v>
      </c>
      <c r="M56" t="str">
        <f>'TÖRZSADATOK ÉS ÖSSZESÍTÉS'!A37</f>
        <v>elért pontszám:</v>
      </c>
    </row>
    <row r="57" spans="2:13" x14ac:dyDescent="0.25">
      <c r="G57" t="s">
        <v>250</v>
      </c>
      <c r="H57" t="str">
        <f>IF('2. Tudományos eredmények'!F16&lt;='2. Tudományos eredmények'!C16,"OK","NOTOK")</f>
        <v>OK</v>
      </c>
      <c r="M57">
        <f>'TÖRZSADATOK ÉS ÖSSZESÍTÉS'!B37</f>
        <v>0</v>
      </c>
    </row>
    <row r="58" spans="2:13" x14ac:dyDescent="0.25">
      <c r="G58" t="s">
        <v>250</v>
      </c>
      <c r="H58" t="str">
        <f>IF('2. Tudományos eredmények'!F17&lt;='2. Tudományos eredmények'!C17,"OK","NOTOK")</f>
        <v>OK</v>
      </c>
      <c r="M58" t="s">
        <v>221</v>
      </c>
    </row>
    <row r="59" spans="2:13" x14ac:dyDescent="0.25">
      <c r="G59" t="s">
        <v>250</v>
      </c>
      <c r="H59" t="str">
        <f>IF('2. Tudományos eredmények'!F18&lt;='2. Tudományos eredmények'!C18,"OK","NOTOK")</f>
        <v>OK</v>
      </c>
      <c r="M59" t="str">
        <f>'TÖRZSADATOK ÉS ÖSSZESÍTÉS'!A39</f>
        <v>minimumkövetelmény:</v>
      </c>
    </row>
    <row r="60" spans="2:13" x14ac:dyDescent="0.25">
      <c r="G60" t="s">
        <v>250</v>
      </c>
      <c r="H60" t="str">
        <f>IF('2. Tudományos eredmények'!F19&lt;='2. Tudományos eredmények'!C19,"OK","NOTOK")</f>
        <v>OK</v>
      </c>
      <c r="M60">
        <f>'TÖRZSADATOK ÉS ÖSSZESÍTÉS'!B39</f>
        <v>66</v>
      </c>
    </row>
    <row r="61" spans="2:13" x14ac:dyDescent="0.25">
      <c r="G61" t="s">
        <v>250</v>
      </c>
      <c r="H61" t="str">
        <f>IF('2. Tudományos eredmények'!F20&lt;='2. Tudományos eredmények'!C20,"OK","NOTOK")</f>
        <v>OK</v>
      </c>
      <c r="M61" t="str">
        <f>'TÖRZSADATOK ÉS ÖSSZESÍTÉS'!A40</f>
        <v>elért pontszám:</v>
      </c>
    </row>
    <row r="62" spans="2:13" x14ac:dyDescent="0.25">
      <c r="G62" t="s">
        <v>250</v>
      </c>
      <c r="H62" t="str">
        <f>IF('2. Tudományos eredmények'!F21&lt;='2. Tudományos eredmények'!C21,"OK","NOTOK")</f>
        <v>OK</v>
      </c>
      <c r="M62">
        <f>'TÖRZSADATOK ÉS ÖSSZESÍTÉS'!B40</f>
        <v>0</v>
      </c>
    </row>
    <row r="63" spans="2:13" x14ac:dyDescent="0.25">
      <c r="G63" t="s">
        <v>250</v>
      </c>
      <c r="H63" t="str">
        <f>IF('2. Tudományos eredmények'!F22&lt;='2. Tudományos eredmények'!C22,"OK","NOTOK")</f>
        <v>OK</v>
      </c>
      <c r="M63" t="s">
        <v>222</v>
      </c>
    </row>
    <row r="64" spans="2:13" x14ac:dyDescent="0.25">
      <c r="G64" t="s">
        <v>250</v>
      </c>
      <c r="H64" t="str">
        <f>IF('2. Tudományos eredmények'!F23&lt;='2. Tudományos eredmények'!C23,"OK","NOTOK")</f>
        <v>OK</v>
      </c>
      <c r="M64" t="str">
        <f>'TÖRZSADATOK ÉS ÖSSZESÍTÉS'!A42</f>
        <v>minimumkövetelmény:</v>
      </c>
    </row>
    <row r="65" spans="7:13" x14ac:dyDescent="0.25">
      <c r="G65" t="s">
        <v>250</v>
      </c>
      <c r="H65" t="str">
        <f>IF('2. Tudományos eredmények'!F24&lt;='2. Tudományos eredmények'!C24,"OK","NOTOK")</f>
        <v>OK</v>
      </c>
      <c r="M65">
        <f>'TÖRZSADATOK ÉS ÖSSZESÍTÉS'!B42</f>
        <v>4</v>
      </c>
    </row>
    <row r="66" spans="7:13" x14ac:dyDescent="0.25">
      <c r="G66" t="s">
        <v>250</v>
      </c>
      <c r="H66" t="str">
        <f>IF('2. Tudományos eredmények'!F25&lt;='2. Tudományos eredmények'!C25,"OK","NOTOK")</f>
        <v>OK</v>
      </c>
      <c r="M66" t="str">
        <f>'TÖRZSADATOK ÉS ÖSSZESÍTÉS'!A43</f>
        <v>elért pontszám:</v>
      </c>
    </row>
    <row r="67" spans="7:13" x14ac:dyDescent="0.25">
      <c r="M67">
        <f>'TÖRZSADATOK ÉS ÖSSZESÍTÉS'!B43</f>
        <v>0</v>
      </c>
    </row>
    <row r="68" spans="7:13" x14ac:dyDescent="0.25">
      <c r="M68" t="s">
        <v>223</v>
      </c>
    </row>
    <row r="69" spans="7:13" x14ac:dyDescent="0.25">
      <c r="M69" t="str">
        <f>'TÖRZSADATOK ÉS ÖSSZESÍTÉS'!A45</f>
        <v>minimumkövetelmény:</v>
      </c>
    </row>
    <row r="70" spans="7:13" x14ac:dyDescent="0.25">
      <c r="M70">
        <f>'TÖRZSADATOK ÉS ÖSSZESÍTÉS'!B45</f>
        <v>0</v>
      </c>
    </row>
    <row r="71" spans="7:13" x14ac:dyDescent="0.25">
      <c r="G71" t="s">
        <v>250</v>
      </c>
      <c r="H71" t="str">
        <f>IF('2. Tudományos eredmények'!F30&lt;='2. Tudományos eredmények'!C30,"OK","NOTOK")</f>
        <v>OK</v>
      </c>
      <c r="M71" t="str">
        <f>'TÖRZSADATOK ÉS ÖSSZESÍTÉS'!A46</f>
        <v>elért pontszám:</v>
      </c>
    </row>
    <row r="72" spans="7:13" x14ac:dyDescent="0.25">
      <c r="G72" t="s">
        <v>250</v>
      </c>
      <c r="H72" t="str">
        <f>IF('2. Tudományos eredmények'!F31&lt;='2. Tudományos eredmények'!C31,"OK","NOTOK")</f>
        <v>OK</v>
      </c>
      <c r="M72">
        <f>'TÖRZSADATOK ÉS ÖSSZESÍTÉS'!B46</f>
        <v>0</v>
      </c>
    </row>
    <row r="73" spans="7:13" x14ac:dyDescent="0.25">
      <c r="G73" t="s">
        <v>250</v>
      </c>
      <c r="H73" t="str">
        <f>IF('2. Tudományos eredmények'!F32&lt;='2. Tudományos eredmények'!C32,"OK","NOTOK")</f>
        <v>OK</v>
      </c>
      <c r="M73" t="s">
        <v>224</v>
      </c>
    </row>
    <row r="74" spans="7:13" x14ac:dyDescent="0.25">
      <c r="G74" t="s">
        <v>250</v>
      </c>
      <c r="H74" t="str">
        <f>IF('2. Tudományos eredmények'!F33&lt;='2. Tudományos eredmények'!C33,"OK","NOTOK")</f>
        <v>OK</v>
      </c>
      <c r="M74" t="str">
        <f>IF('TÖRZSADATOK ÉS ÖSSZESÍTÉS'!B54="A jelentkező tudományos közéleti tevékenysége megfelelő.",Segédlap!C32,Segédlap!C34)</f>
        <v>nem megfelelő</v>
      </c>
    </row>
    <row r="75" spans="7:13" x14ac:dyDescent="0.25">
      <c r="G75" t="s">
        <v>250</v>
      </c>
      <c r="H75" t="str">
        <f>IF('2. Tudományos eredmények'!F34&lt;='2. Tudományos eredmények'!C34,"OK","NOTOK")</f>
        <v>OK</v>
      </c>
      <c r="M75" t="s">
        <v>225</v>
      </c>
    </row>
    <row r="76" spans="7:13" x14ac:dyDescent="0.25">
      <c r="G76" t="s">
        <v>250</v>
      </c>
      <c r="H76" t="str">
        <f>IF('2. Tudományos eredmények'!F35&lt;='2. Tudományos eredmények'!C35,"OK","NOTOK")</f>
        <v>OK</v>
      </c>
      <c r="M76">
        <f>'TÖRZSADATOK ÉS ÖSSZESÍTÉS'!B52</f>
        <v>50</v>
      </c>
    </row>
    <row r="77" spans="7:13" x14ac:dyDescent="0.25">
      <c r="G77" t="s">
        <v>250</v>
      </c>
      <c r="H77" t="str">
        <f>IF('2. Tudományos eredmények'!F36&lt;='2. Tudományos eredmények'!C36,"OK","NOTOK")</f>
        <v>OK</v>
      </c>
      <c r="M77" t="str">
        <f>IF('TÖRZSADATOK ÉS ÖSSZESÍTÉS'!B53='TÖRZSADATOK ÉS ÖSSZESÍTÉS'!B52,Segédlap!C42,Segédlap!C41)</f>
        <v xml:space="preserve"> ponttal szemben</v>
      </c>
    </row>
    <row r="78" spans="7:13" x14ac:dyDescent="0.25">
      <c r="G78" t="s">
        <v>250</v>
      </c>
      <c r="H78" t="str">
        <f>IF('2. Tudományos eredmények'!F37&lt;='2. Tudományos eredmények'!C37,"OK","NOTOK")</f>
        <v>OK</v>
      </c>
      <c r="M78" t="s">
        <v>238</v>
      </c>
    </row>
    <row r="79" spans="7:13" x14ac:dyDescent="0.25">
      <c r="G79" t="s">
        <v>250</v>
      </c>
      <c r="H79" t="str">
        <f>IF('2. Tudományos eredmények'!F38&lt;='2. Tudományos eredmények'!C38,"OK","NOTOK")</f>
        <v>OK</v>
      </c>
      <c r="M79">
        <f>'TÖRZSADATOK ÉS ÖSSZESÍTÉS'!B53</f>
        <v>0</v>
      </c>
    </row>
    <row r="80" spans="7:13" x14ac:dyDescent="0.25">
      <c r="M80" t="s">
        <v>230</v>
      </c>
    </row>
    <row r="82" spans="13:13" x14ac:dyDescent="0.25">
      <c r="M82" t="s">
        <v>254</v>
      </c>
    </row>
    <row r="83" spans="13:13" x14ac:dyDescent="0.25">
      <c r="M83" t="str">
        <f>IF('TÖRZSADATOK ÉS ÖSSZESÍTÉS'!B59="A jelentkező szakmai teljesítménye összességében megfelelő.",Segédlap!C32,Segédlap!C34)</f>
        <v>nem megfelelő</v>
      </c>
    </row>
    <row r="84" spans="13:13" x14ac:dyDescent="0.25">
      <c r="M84" t="str">
        <f>IF(AND('TÖRZSADATOK ÉS ÖSSZESÍTÉS'!B59="A jelentkező szakmai teljesítménye összességében nem megfelelő.",'TÖRZSADATOK ÉS ÖSSZESÍTÉS'!B58&gt;'TÖRZSADATOK ÉS ÖSSZESÍTÉS'!B57),Segédlap!C36,Segédlap!C35)</f>
        <v>, mert</v>
      </c>
    </row>
    <row r="85" spans="13:13" x14ac:dyDescent="0.25">
      <c r="M85" t="s">
        <v>257</v>
      </c>
    </row>
    <row r="86" spans="13:13" x14ac:dyDescent="0.25">
      <c r="M86">
        <f>'TÖRZSADATOK ÉS ÖSSZESÍTÉS'!B58</f>
        <v>0</v>
      </c>
    </row>
    <row r="87" spans="13:13" x14ac:dyDescent="0.25">
      <c r="M87" t="s">
        <v>256</v>
      </c>
    </row>
    <row r="88" spans="13:13" x14ac:dyDescent="0.25">
      <c r="M88" t="str">
        <f>IF('TÖRZSADATOK ÉS ÖSSZESÍTÉS'!B59="A jelentkező szakmai teljesítménye összességében megfelelő.",", és a részteljesítményekre előírt minimális pontszámokat is elérte.",IF(AND('TÖRZSADATOK ÉS ÖSSZESÍTÉS'!B59="A jelentkező szakmai teljesítménye összességében nem megfelelő.",'TÖRZSADATOK ÉS ÖSSZESÍTÉS'!B58&gt;'TÖRZSADATOK ÉS ÖSSZESÍTÉS'!B57),", de a részteljesítményekre előírt minimális pontszámokat nem érte el.","."))</f>
        <v>.</v>
      </c>
    </row>
    <row r="91" spans="13:13" x14ac:dyDescent="0.25">
      <c r="M91" t="s">
        <v>226</v>
      </c>
    </row>
    <row r="92" spans="13:13" x14ac:dyDescent="0.25">
      <c r="M92" s="140">
        <f>'TÖRZSADATOK ÉS ÖSSZESÍTÉS'!B11</f>
        <v>0</v>
      </c>
    </row>
    <row r="93" spans="13:13" x14ac:dyDescent="0.25">
      <c r="M93" t="s">
        <v>229</v>
      </c>
    </row>
    <row r="94" spans="13:13" x14ac:dyDescent="0.25">
      <c r="M94" s="141" t="str">
        <f ca="1">TEXT('TÖRZSADATOK ÉS ÖSSZESÍTÉS'!B12,"éééé. hhhh nn.")</f>
        <v>2026. június 29.</v>
      </c>
    </row>
    <row r="95" spans="13:13" x14ac:dyDescent="0.25">
      <c r="M95" s="140">
        <f>'TÖRZSADATOK ÉS ÖSSZESÍTÉS'!B10</f>
        <v>0</v>
      </c>
    </row>
  </sheetData>
  <sheetProtection algorithmName="SHA-512" hashValue="hNEfIFdJlvjGGyqbw86B8mPAtM85ZMHcYyKCiLbcOVKwqpCxNrZLgRcyLz/0kV9h0DEwfDcYNV2vdVWE5Jw5rQ==" saltValue="QxwcPRZiJVs6s46lB1YFWQ==" spinCount="100000" sheet="1" objects="1" scenarios="1"/>
  <mergeCells count="7">
    <mergeCell ref="B53:K53"/>
    <mergeCell ref="B47:K47"/>
    <mergeCell ref="B48:K48"/>
    <mergeCell ref="B49:K49"/>
    <mergeCell ref="B50:K50"/>
    <mergeCell ref="B51:K51"/>
    <mergeCell ref="B52:K5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topLeftCell="B1" workbookViewId="0">
      <selection activeCell="E8" sqref="E8"/>
    </sheetView>
  </sheetViews>
  <sheetFormatPr defaultRowHeight="15" x14ac:dyDescent="0.25"/>
  <cols>
    <col min="1" max="1" width="61.28515625" customWidth="1"/>
    <col min="2" max="4" width="14.85546875" customWidth="1"/>
    <col min="5" max="5" width="26.7109375" customWidth="1"/>
    <col min="6" max="6" width="24.28515625" customWidth="1"/>
    <col min="7" max="7" width="15" customWidth="1"/>
    <col min="8" max="9" width="6.140625" customWidth="1"/>
    <col min="10" max="10" width="30.85546875" customWidth="1"/>
    <col min="11" max="11" width="4.140625" customWidth="1"/>
    <col min="18" max="18" width="32.140625" customWidth="1"/>
  </cols>
  <sheetData>
    <row r="2" spans="1:18" x14ac:dyDescent="0.25">
      <c r="A2" t="s">
        <v>263</v>
      </c>
      <c r="B2">
        <f>SUM('2. Tudományos eredmények'!E5:E8)</f>
        <v>0</v>
      </c>
    </row>
    <row r="3" spans="1:18" x14ac:dyDescent="0.25">
      <c r="A3" s="163" t="s">
        <v>262</v>
      </c>
      <c r="B3" s="163">
        <f>IF(B2&lt;24,1,0)</f>
        <v>1</v>
      </c>
      <c r="M3" t="s">
        <v>269</v>
      </c>
    </row>
    <row r="4" spans="1:18" x14ac:dyDescent="0.25">
      <c r="A4" t="s">
        <v>264</v>
      </c>
      <c r="B4">
        <f>IF(B3=1,24-B2,0)</f>
        <v>24</v>
      </c>
      <c r="M4" t="s">
        <v>270</v>
      </c>
      <c r="N4">
        <v>8</v>
      </c>
      <c r="O4">
        <v>9</v>
      </c>
      <c r="P4">
        <v>10</v>
      </c>
    </row>
    <row r="5" spans="1:18" x14ac:dyDescent="0.25">
      <c r="B5" s="14" t="s">
        <v>265</v>
      </c>
      <c r="C5" s="14" t="s">
        <v>266</v>
      </c>
      <c r="D5" s="14" t="s">
        <v>267</v>
      </c>
      <c r="E5" s="14" t="s">
        <v>268</v>
      </c>
      <c r="F5" s="14" t="s">
        <v>271</v>
      </c>
      <c r="G5" s="14" t="s">
        <v>273</v>
      </c>
      <c r="M5">
        <v>0</v>
      </c>
      <c r="N5">
        <v>0</v>
      </c>
      <c r="O5">
        <v>0</v>
      </c>
      <c r="P5">
        <v>0</v>
      </c>
    </row>
    <row r="6" spans="1:18" x14ac:dyDescent="0.25">
      <c r="A6" s="152" t="s">
        <v>101</v>
      </c>
      <c r="B6">
        <f>'2. Tudományos eredmények'!C19</f>
        <v>0</v>
      </c>
      <c r="C6">
        <v>8</v>
      </c>
      <c r="D6">
        <f>B6*C6</f>
        <v>0</v>
      </c>
      <c r="E6" s="158">
        <f>IF(AND(B3=1,B6&gt;=3),3,IF(B3=1,B6,0))</f>
        <v>0</v>
      </c>
      <c r="F6">
        <f>E6*C6</f>
        <v>0</v>
      </c>
      <c r="G6">
        <f>IF(AND(B3=1,F6&lt;24),1,0)</f>
        <v>1</v>
      </c>
      <c r="M6">
        <v>1</v>
      </c>
      <c r="N6" s="153">
        <v>8</v>
      </c>
      <c r="O6" s="153">
        <v>9</v>
      </c>
      <c r="P6" s="153">
        <v>10</v>
      </c>
      <c r="Q6">
        <f>SUM(N6:P6)</f>
        <v>27</v>
      </c>
    </row>
    <row r="7" spans="1:18" x14ac:dyDescent="0.25">
      <c r="A7" s="152" t="s">
        <v>102</v>
      </c>
      <c r="B7">
        <f>'2. Tudományos eredmények'!C20</f>
        <v>0</v>
      </c>
      <c r="C7">
        <v>8</v>
      </c>
      <c r="D7">
        <f t="shared" ref="D7:D9" si="0">B7*C7</f>
        <v>0</v>
      </c>
      <c r="E7" s="158">
        <f>IF(G6=1,IF(AND(B6=0,B7&gt;=3),3,IF(OR(AND(B6=1,B7&gt;=2),AND(B6=0,B7=2)),2,IF(OR(AND(B6=2,B7&gt;=1),AND(B6=0,B7=1),AND(B6=1,B7=1)),1,0))),0)</f>
        <v>0</v>
      </c>
      <c r="F7">
        <f>E7*C7</f>
        <v>0</v>
      </c>
      <c r="G7">
        <f>IF(AND(B3=1,SUM(F6:F7)&lt;24),1,0)</f>
        <v>1</v>
      </c>
      <c r="M7">
        <v>2</v>
      </c>
      <c r="N7">
        <v>16</v>
      </c>
      <c r="O7">
        <v>18</v>
      </c>
      <c r="P7">
        <v>20</v>
      </c>
    </row>
    <row r="8" spans="1:18" ht="30" x14ac:dyDescent="0.25">
      <c r="A8" s="152" t="s">
        <v>104</v>
      </c>
      <c r="B8">
        <f>'2. Tudományos eredmények'!C23</f>
        <v>0</v>
      </c>
      <c r="C8">
        <v>9</v>
      </c>
      <c r="D8">
        <f t="shared" si="0"/>
        <v>0</v>
      </c>
      <c r="E8" s="158">
        <f>IF(G7=1,J22,0)</f>
        <v>0</v>
      </c>
      <c r="F8">
        <f t="shared" ref="F8:F9" si="1">E8*C8</f>
        <v>0</v>
      </c>
      <c r="G8" s="158">
        <f>IF(AND(B3=1,SUM(F6:F8)&lt;24),1,0)</f>
        <v>1</v>
      </c>
      <c r="M8">
        <v>3</v>
      </c>
      <c r="N8" s="153">
        <v>24</v>
      </c>
      <c r="O8">
        <v>27</v>
      </c>
      <c r="P8">
        <v>30</v>
      </c>
    </row>
    <row r="9" spans="1:18" ht="30" x14ac:dyDescent="0.25">
      <c r="A9" s="152" t="s">
        <v>100</v>
      </c>
      <c r="B9">
        <f>'2. Tudományos eredmények'!C25</f>
        <v>0</v>
      </c>
      <c r="C9">
        <v>10</v>
      </c>
      <c r="D9">
        <f t="shared" si="0"/>
        <v>0</v>
      </c>
      <c r="E9" s="158">
        <f>IF(B3=1,IF(SUM(F6:F8)=0,IF(B9&gt;=3,3,IF(B9&gt;0,B9,0)),J26),0)</f>
        <v>0</v>
      </c>
      <c r="F9">
        <f t="shared" si="1"/>
        <v>0</v>
      </c>
    </row>
    <row r="10" spans="1:18" x14ac:dyDescent="0.25">
      <c r="A10" s="152" t="s">
        <v>272</v>
      </c>
      <c r="E10" s="9">
        <f>SUM(E6:E9)</f>
        <v>0</v>
      </c>
      <c r="F10" s="159">
        <f>SUM(F6:F9)</f>
        <v>0</v>
      </c>
      <c r="L10" t="s">
        <v>274</v>
      </c>
      <c r="M10" t="s">
        <v>275</v>
      </c>
      <c r="N10" s="154">
        <v>3</v>
      </c>
      <c r="O10">
        <v>0</v>
      </c>
      <c r="P10">
        <v>0</v>
      </c>
      <c r="Q10">
        <v>24</v>
      </c>
    </row>
    <row r="11" spans="1:18" x14ac:dyDescent="0.25">
      <c r="M11" t="s">
        <v>276</v>
      </c>
      <c r="N11" s="154">
        <v>2</v>
      </c>
      <c r="O11" s="160">
        <v>1</v>
      </c>
      <c r="P11">
        <v>0</v>
      </c>
      <c r="Q11">
        <v>25</v>
      </c>
    </row>
    <row r="12" spans="1:18" x14ac:dyDescent="0.25">
      <c r="M12" t="s">
        <v>277</v>
      </c>
      <c r="N12" s="154">
        <v>2</v>
      </c>
      <c r="O12">
        <v>0</v>
      </c>
      <c r="P12" s="164">
        <v>1</v>
      </c>
      <c r="Q12">
        <v>26</v>
      </c>
      <c r="R12" s="165" t="s">
        <v>292</v>
      </c>
    </row>
    <row r="13" spans="1:18" x14ac:dyDescent="0.25">
      <c r="M13" t="s">
        <v>278</v>
      </c>
      <c r="N13" s="154">
        <v>1</v>
      </c>
      <c r="O13" s="160">
        <v>2</v>
      </c>
      <c r="P13">
        <v>0</v>
      </c>
      <c r="Q13">
        <v>26</v>
      </c>
    </row>
    <row r="14" spans="1:18" x14ac:dyDescent="0.25">
      <c r="M14" t="s">
        <v>279</v>
      </c>
      <c r="N14" s="154">
        <v>1</v>
      </c>
      <c r="O14" s="160">
        <v>1</v>
      </c>
      <c r="P14" s="164">
        <v>1</v>
      </c>
      <c r="Q14">
        <v>27</v>
      </c>
      <c r="R14" s="165" t="s">
        <v>293</v>
      </c>
    </row>
    <row r="15" spans="1:18" x14ac:dyDescent="0.25">
      <c r="M15" t="s">
        <v>280</v>
      </c>
      <c r="N15" s="154">
        <v>0</v>
      </c>
      <c r="O15" s="160">
        <v>3</v>
      </c>
      <c r="P15">
        <v>0</v>
      </c>
      <c r="Q15">
        <v>27</v>
      </c>
    </row>
    <row r="16" spans="1:18" x14ac:dyDescent="0.25">
      <c r="M16" t="s">
        <v>281</v>
      </c>
      <c r="N16" s="154">
        <v>1</v>
      </c>
      <c r="O16">
        <v>0</v>
      </c>
      <c r="P16" s="155">
        <v>2</v>
      </c>
      <c r="Q16">
        <v>28</v>
      </c>
    </row>
    <row r="17" spans="8:18" x14ac:dyDescent="0.25">
      <c r="M17" t="s">
        <v>282</v>
      </c>
      <c r="N17" s="154">
        <v>0</v>
      </c>
      <c r="O17" s="160">
        <v>2</v>
      </c>
      <c r="P17" s="164">
        <v>1</v>
      </c>
      <c r="Q17">
        <v>28</v>
      </c>
      <c r="R17" s="165" t="s">
        <v>294</v>
      </c>
    </row>
    <row r="18" spans="8:18" x14ac:dyDescent="0.25">
      <c r="M18" t="s">
        <v>283</v>
      </c>
      <c r="N18" s="154">
        <v>0</v>
      </c>
      <c r="O18" s="160">
        <v>1</v>
      </c>
      <c r="P18" s="155">
        <v>2</v>
      </c>
      <c r="Q18">
        <v>29</v>
      </c>
    </row>
    <row r="19" spans="8:18" x14ac:dyDescent="0.25">
      <c r="L19" t="s">
        <v>274</v>
      </c>
      <c r="M19" t="s">
        <v>284</v>
      </c>
      <c r="N19" s="154">
        <v>0</v>
      </c>
      <c r="O19">
        <v>0</v>
      </c>
      <c r="P19" s="155">
        <v>3</v>
      </c>
      <c r="Q19">
        <v>30</v>
      </c>
    </row>
    <row r="20" spans="8:18" x14ac:dyDescent="0.25">
      <c r="H20" s="154"/>
    </row>
    <row r="21" spans="8:18" x14ac:dyDescent="0.25">
      <c r="J21" s="156" t="s">
        <v>286</v>
      </c>
    </row>
    <row r="22" spans="8:18" x14ac:dyDescent="0.25">
      <c r="J22" s="157">
        <f>IF(AND(G7=1,B8&gt;0),J30,0)</f>
        <v>0</v>
      </c>
    </row>
    <row r="25" spans="8:18" x14ac:dyDescent="0.25">
      <c r="J25" s="156" t="s">
        <v>285</v>
      </c>
    </row>
    <row r="26" spans="8:18" x14ac:dyDescent="0.25">
      <c r="J26" s="157">
        <f>J36</f>
        <v>0</v>
      </c>
    </row>
    <row r="29" spans="8:18" x14ac:dyDescent="0.25">
      <c r="I29" t="s">
        <v>287</v>
      </c>
    </row>
    <row r="30" spans="8:18" x14ac:dyDescent="0.25">
      <c r="J30">
        <f>IF(AND(B8&gt;=3,SUM(E6:E7)=0),3,J31)</f>
        <v>0</v>
      </c>
    </row>
    <row r="31" spans="8:18" x14ac:dyDescent="0.25">
      <c r="J31">
        <f>IF(AND(B8&gt;=2,OR(SUM(E6:E7)=0,SUM(E6:E7)=1)),2,J32)</f>
        <v>0</v>
      </c>
    </row>
    <row r="32" spans="8:18" x14ac:dyDescent="0.25">
      <c r="J32">
        <f>IF(OR(AND(SUM(E6:E7)=0,B8=1),AND(SUM(E6:E7)=1,B8=1),AND(SUM(E6:E7)=2,B8&gt;=1)),1,0)</f>
        <v>0</v>
      </c>
    </row>
    <row r="34" spans="2:10" x14ac:dyDescent="0.25">
      <c r="I34" t="s">
        <v>289</v>
      </c>
    </row>
    <row r="35" spans="2:10" x14ac:dyDescent="0.25">
      <c r="B35" t="s">
        <v>290</v>
      </c>
    </row>
    <row r="36" spans="2:10" x14ac:dyDescent="0.25">
      <c r="B36" t="s">
        <v>291</v>
      </c>
      <c r="J36">
        <f>IF(AND(B3=1,B9&gt;=2,OR(AND(SUM(E6:E7)=1,E8=0),AND(SUM(E6:E7)=0,E8=1))),2,J37)</f>
        <v>0</v>
      </c>
    </row>
    <row r="37" spans="2:10" x14ac:dyDescent="0.25">
      <c r="B37" t="s">
        <v>295</v>
      </c>
      <c r="J37">
        <f>IF(OR(AND(B3=1,OR(AND(SUM(F6:F7)=16,F8=0),AND(SUM(F6:F7)=8,F8=9),AND(SUM(F6:F7)=0,F8=18)),B9&gt;=1),AND(B3=1,SUM(F6:F8)&lt;16,B9=1)),1,0)</f>
        <v>0</v>
      </c>
    </row>
  </sheetData>
  <sheetProtection algorithmName="SHA-512" hashValue="++rX5+faqwzwYttTi2rK4zlmJlb6schNKYRbAAZLnTVpgyMcG88yoLGxD8bgmdjZ++SfUlpRTThuc80kGDi0pQ==" saltValue="8FDWJntdM9e5foEh0GXd1A==" spinCount="100000" sheet="1" objects="1" scenarios="1"/>
  <sortState ref="N10:Q19">
    <sortCondition ref="Q10:Q19"/>
    <sortCondition descending="1" ref="N10:N19"/>
    <sortCondition descending="1" ref="O10:O19"/>
    <sortCondition descending="1" ref="P10:P19"/>
  </sortState>
  <conditionalFormatting sqref="E10">
    <cfRule type="cellIs" dxfId="0" priority="1" operator="greater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TÖRZSADATOK ÉS ÖSSZESÍTÉS</vt:lpstr>
      <vt:lpstr>1. Oktatási tapasztalat </vt:lpstr>
      <vt:lpstr>2. Tudományos eredmények</vt:lpstr>
      <vt:lpstr>3. Tudományos közéleti tev.</vt:lpstr>
      <vt:lpstr>Segédlap</vt:lpstr>
      <vt:lpstr>Pszicho segédlap</vt:lpstr>
      <vt:lpstr>'2. Tudományos eredmények'!_ftn1</vt:lpstr>
      <vt:lpstr>'2. Tudományos eredmények'!_ftn2</vt:lpstr>
      <vt:lpstr>'2. Tudományos eredmények'!_ftn3</vt:lpstr>
      <vt:lpstr>'2. Tudományos eredmények'!_ftnref1</vt:lpstr>
      <vt:lpstr>'2. Tudományos eredmények'!_ftnref2</vt:lpstr>
      <vt:lpstr>'2. Tudományos eredmények'!_ftnref3</vt:lpstr>
      <vt:lpstr>'TÖRZSADATOK ÉS ÖSSZESÍTÉS'!Nyomtatási_terület</vt:lpstr>
      <vt:lpstr>okt_adatok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Csűry István</dc:creator>
  <cp:lastModifiedBy>Csűry István</cp:lastModifiedBy>
  <cp:lastPrinted>2025-05-27T13:13:01Z</cp:lastPrinted>
  <dcterms:created xsi:type="dcterms:W3CDTF">2025-03-05T20:45:26Z</dcterms:created>
  <dcterms:modified xsi:type="dcterms:W3CDTF">2026-06-29T10:13:21Z</dcterms:modified>
</cp:coreProperties>
</file>